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creggov.sharepoint.com/sites/Regulacion-Energia-ZNI/Documentos compartidos/EE-ZNI-Marco-Tarifario-Aisladas/Modelo Remuneracion/"/>
    </mc:Choice>
  </mc:AlternateContent>
  <xr:revisionPtr revIDLastSave="0" documentId="8_{4123D7AF-6F11-4E2A-82C7-EE0F30B10AD6}" xr6:coauthVersionLast="45" xr6:coauthVersionMax="45" xr10:uidLastSave="{00000000-0000-0000-0000-000000000000}"/>
  <bookViews>
    <workbookView xWindow="-120" yWindow="-120" windowWidth="19440" windowHeight="15600" tabRatio="812" xr2:uid="{B13EFB1E-93E9-44C4-BAC0-80FF6B79ADDA}"/>
  </bookViews>
  <sheets>
    <sheet name="Formula CU" sheetId="2" r:id="rId1"/>
    <sheet name="G AM Personal y Serv Generales" sheetId="24" r:id="rId2"/>
    <sheet name="G AM Inversiones" sheetId="21" r:id="rId3"/>
    <sheet name="G AM Preventivos" sheetId="18" r:id="rId4"/>
    <sheet name="Margen C" sheetId="22" r:id="rId5"/>
    <sheet name="Costo financiero" sheetId="11" r:id="rId6"/>
    <sheet name="Factor Salarial" sheetId="9" r:id="rId7"/>
    <sheet name="Cobertura ZNI" sheetId="23" r:id="rId8"/>
  </sheets>
  <definedNames>
    <definedName name="AMGI0" localSheetId="2">'G AM Inversiones'!#REF!</definedName>
    <definedName name="AMGI0">'Formula CU'!$C$11</definedName>
    <definedName name="AMNU" localSheetId="2">'G AM Inversiones'!#REF!</definedName>
    <definedName name="AMNU">'Formula CU'!$C$47</definedName>
    <definedName name="C_0r" localSheetId="2">'G AM Inversiones'!#REF!</definedName>
    <definedName name="C_0r">'Formula CU'!$C$54</definedName>
    <definedName name="C0" localSheetId="2">'G AM Inversiones'!#REF!</definedName>
    <definedName name="C0">'Formula CU'!$C$53</definedName>
    <definedName name="Cm" localSheetId="2">'G AM Inversiones'!#REF!</definedName>
    <definedName name="Cm">'Formula CU'!$C$52</definedName>
    <definedName name="CUm" localSheetId="2">'G AM Inversiones'!#REF!</definedName>
    <definedName name="CUm">'Formula CU'!$C$40</definedName>
    <definedName name="Diasm" localSheetId="2">'G AM Inversiones'!#REF!</definedName>
    <definedName name="Diasm">'Formula CU'!$C$6</definedName>
    <definedName name="Dm" localSheetId="2">'G AM Inversiones'!#REF!</definedName>
    <definedName name="Dm">'Formula CU'!$C$57</definedName>
    <definedName name="EGm" localSheetId="2">'G AM Inversiones'!#REF!</definedName>
    <definedName name="EGm">'Formula CU'!$C$58</definedName>
    <definedName name="GAM0" localSheetId="2">'G AM Inversiones'!#REF!</definedName>
    <definedName name="GAM0">'Formula CU'!$C$46</definedName>
    <definedName name="GI0" localSheetId="2">'G AM Inversiones'!#REF!</definedName>
    <definedName name="GI0">'Formula CU'!$C$44</definedName>
    <definedName name="Gm" localSheetId="2">'G AM Inversiones'!#REF!</definedName>
    <definedName name="Gm">'Formula CU'!$C$42</definedName>
    <definedName name="IPP0" localSheetId="2">'G AM Inversiones'!#REF!</definedName>
    <definedName name="IPP0">'Formula CU'!$C$7</definedName>
    <definedName name="IPPm_1" localSheetId="2">'G AM Inversiones'!#REF!</definedName>
    <definedName name="IPPm_1">'Formula CU'!$C$8</definedName>
    <definedName name="MgAM" localSheetId="2">'G AM Inversiones'!#REF!</definedName>
    <definedName name="MgAM">'Formula CU'!$C$12</definedName>
    <definedName name="MgC" localSheetId="2">'G AM Inversiones'!#REF!</definedName>
    <definedName name="MgC">'Formula CU'!$C$13</definedName>
    <definedName name="MPr_NS" localSheetId="2">'G AM Inversiones'!#REF!</definedName>
    <definedName name="MPr_NS">'Formula CU'!$C$49</definedName>
    <definedName name="NSr_tcs" localSheetId="2">'G AM Inversiones'!#REF!</definedName>
    <definedName name="NSr_tcs">'Formula CU'!$C$5</definedName>
    <definedName name="NU" localSheetId="2">'G AM Inversiones'!#REF!</definedName>
    <definedName name="NU">'Formula CU'!$C$15</definedName>
    <definedName name="Origen_Comparativo">#REF!</definedName>
    <definedName name="PE" localSheetId="2">'G AM Inversiones'!#REF!</definedName>
    <definedName name="PE">'Formula CU'!$C$16</definedName>
    <definedName name="Region" localSheetId="2">'G AM Inversiones'!#REF!</definedName>
    <definedName name="Region">'Formula CU'!$C$10</definedName>
    <definedName name="TCS" localSheetId="2">'G AM Inversiones'!#REF!</definedName>
    <definedName name="TCS">'Formula CU'!$C$14</definedName>
    <definedName name="TD" localSheetId="2">'G AM Inversiones'!$C$5</definedName>
    <definedName name="TD">'Formula CU'!$C$9</definedName>
    <definedName name="Vector_Campos">#REF!</definedName>
    <definedName name="Vector_Poblacione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76" i="24" l="1"/>
  <c r="C76" i="24"/>
  <c r="D79" i="24" s="1"/>
  <c r="C19" i="18"/>
  <c r="C20" i="18" s="1"/>
  <c r="C22" i="18" s="1"/>
  <c r="C5" i="24"/>
  <c r="D47" i="24" s="1"/>
  <c r="E47" i="24" s="1"/>
  <c r="G47" i="24" s="1"/>
  <c r="D10" i="23"/>
  <c r="E10" i="23" s="1"/>
  <c r="D5" i="23"/>
  <c r="E4" i="23" s="1"/>
  <c r="D44" i="2"/>
  <c r="D65" i="24" l="1"/>
  <c r="F65" i="24" s="1"/>
  <c r="D66" i="24"/>
  <c r="F66" i="24" s="1"/>
  <c r="D68" i="24"/>
  <c r="F68" i="24" s="1"/>
  <c r="D64" i="24"/>
  <c r="F64" i="24" s="1"/>
  <c r="D54" i="24"/>
  <c r="E54" i="24" s="1"/>
  <c r="G54" i="24" s="1"/>
  <c r="D53" i="24"/>
  <c r="E53" i="24" s="1"/>
  <c r="G53" i="24" s="1"/>
  <c r="D49" i="24"/>
  <c r="E49" i="24" s="1"/>
  <c r="D46" i="24"/>
  <c r="E46" i="24" s="1"/>
  <c r="G46" i="24" s="1"/>
  <c r="D56" i="24"/>
  <c r="E56" i="24" s="1"/>
  <c r="G56" i="24" s="1"/>
  <c r="D52" i="24"/>
  <c r="E52" i="24" s="1"/>
  <c r="G52" i="24" s="1"/>
  <c r="D48" i="24"/>
  <c r="E48" i="24" s="1"/>
  <c r="G48" i="24" s="1"/>
  <c r="D50" i="24"/>
  <c r="E50" i="24" s="1"/>
  <c r="D55" i="24"/>
  <c r="E55" i="24" s="1"/>
  <c r="G55" i="24" s="1"/>
  <c r="D51" i="24"/>
  <c r="E51" i="24" s="1"/>
  <c r="E8" i="23"/>
  <c r="E9" i="23"/>
  <c r="E3" i="23"/>
  <c r="E5" i="23"/>
  <c r="C13" i="2" l="1"/>
  <c r="D28" i="22"/>
  <c r="E28" i="22" s="1"/>
  <c r="E22" i="22"/>
  <c r="E34" i="22"/>
  <c r="F6" i="22"/>
  <c r="F7" i="22"/>
  <c r="F8" i="22"/>
  <c r="F5" i="22"/>
  <c r="F27" i="21"/>
  <c r="F26" i="21"/>
  <c r="F9" i="22" l="1"/>
  <c r="C16" i="22" s="1"/>
  <c r="C39" i="22" s="1"/>
  <c r="J11" i="21"/>
  <c r="D13" i="21"/>
  <c r="E13" i="21"/>
  <c r="F13" i="21"/>
  <c r="C13" i="21"/>
  <c r="I16" i="21"/>
  <c r="I18" i="21" s="1"/>
  <c r="H16" i="21"/>
  <c r="H18" i="21" s="1"/>
  <c r="G16" i="21"/>
  <c r="G18" i="21" s="1"/>
  <c r="F16" i="21"/>
  <c r="F18" i="21" s="1"/>
  <c r="E16" i="21"/>
  <c r="D16" i="21"/>
  <c r="D18" i="21" s="1"/>
  <c r="C16" i="21"/>
  <c r="C18" i="21" s="1"/>
  <c r="E18" i="21"/>
  <c r="E7" i="18"/>
  <c r="H7" i="18" s="1"/>
  <c r="F7" i="18"/>
  <c r="F6" i="18"/>
  <c r="E6" i="18"/>
  <c r="H6" i="18" s="1"/>
  <c r="H10" i="18"/>
  <c r="H9" i="18"/>
  <c r="F28" i="21" l="1"/>
  <c r="G13" i="21"/>
  <c r="J16" i="21"/>
  <c r="J18" i="21"/>
  <c r="H12" i="18"/>
  <c r="C23" i="18" s="1"/>
  <c r="F30" i="21" l="1"/>
  <c r="C36" i="21" s="1"/>
  <c r="I13" i="21"/>
  <c r="H13" i="21"/>
  <c r="C26" i="18"/>
  <c r="C27" i="18" s="1"/>
  <c r="C49" i="2" s="1"/>
  <c r="J13" i="21" l="1"/>
  <c r="J20" i="21" s="1"/>
  <c r="C35" i="21" s="1"/>
  <c r="C37" i="21" s="1"/>
  <c r="C11" i="2" s="1"/>
  <c r="C58" i="2" l="1"/>
  <c r="D33" i="2"/>
  <c r="E33" i="2"/>
  <c r="F33" i="2"/>
  <c r="G33" i="2"/>
  <c r="H33" i="2"/>
  <c r="I33" i="2"/>
  <c r="C33" i="2"/>
  <c r="G34" i="2" l="1"/>
  <c r="F34" i="2"/>
  <c r="I34" i="2"/>
  <c r="E34" i="2"/>
  <c r="D34" i="2"/>
  <c r="H34" i="2"/>
  <c r="C34" i="2"/>
  <c r="C57" i="2"/>
  <c r="D57" i="2" s="1"/>
  <c r="C16" i="2" a="1"/>
  <c r="C16" i="2" s="1"/>
  <c r="C44" i="2" a="1"/>
  <c r="C44" i="2" s="1"/>
  <c r="B29" i="2"/>
  <c r="C48" i="2" l="1"/>
  <c r="C47" i="2"/>
  <c r="C46" i="2" l="1"/>
  <c r="C53" i="2" s="1"/>
  <c r="C52" i="2" s="1"/>
  <c r="D52" i="2" s="1"/>
  <c r="C50" i="2"/>
  <c r="C42" i="2" l="1"/>
  <c r="D46" i="2"/>
  <c r="D42" i="2" s="1"/>
  <c r="D40" i="2" s="1"/>
  <c r="C55" i="2"/>
  <c r="G2" i="11" l="1"/>
  <c r="F5" i="9" l="1"/>
  <c r="F7" i="9" s="1"/>
  <c r="F4" i="9"/>
  <c r="F15" i="9" s="1"/>
  <c r="C40" i="2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<sst xmlns="http://schemas.openxmlformats.org/spreadsheetml/2006/main" count="323" uniqueCount="236">
  <si>
    <t>TD</t>
  </si>
  <si>
    <t>Variable</t>
  </si>
  <si>
    <t>Componente</t>
  </si>
  <si>
    <t>Unidades</t>
  </si>
  <si>
    <t>Estructura</t>
  </si>
  <si>
    <t>Batería</t>
  </si>
  <si>
    <t>Controlador</t>
  </si>
  <si>
    <t>Inversor</t>
  </si>
  <si>
    <t>Medidor</t>
  </si>
  <si>
    <t>OE y OC</t>
  </si>
  <si>
    <t>Descripción</t>
  </si>
  <si>
    <t>TOTAL</t>
  </si>
  <si>
    <t>Transporte</t>
  </si>
  <si>
    <t>Contribuciones</t>
  </si>
  <si>
    <t>Usuarios</t>
  </si>
  <si>
    <t>Perfil</t>
  </si>
  <si>
    <t>Costo anual</t>
  </si>
  <si>
    <t>Total</t>
  </si>
  <si>
    <t>Concepto</t>
  </si>
  <si>
    <t>SMMLV</t>
  </si>
  <si>
    <t>Factor salarial</t>
  </si>
  <si>
    <t>ASISTENTE</t>
  </si>
  <si>
    <t>DITECTOR TÉCNICO -  COMERCIAL</t>
  </si>
  <si>
    <t>ASISTENTE TÉCNICO</t>
  </si>
  <si>
    <t>AUXILIAR DE INGENIERÍA</t>
  </si>
  <si>
    <t>DIRECTOR ADMINISTRATIVO</t>
  </si>
  <si>
    <t>ASISTENTE ADMINISTRATIVO</t>
  </si>
  <si>
    <t>CONTADOR GENERAL</t>
  </si>
  <si>
    <t>AUXILIAR CONTABLE</t>
  </si>
  <si>
    <t>TESORERO</t>
  </si>
  <si>
    <t>COORDINADOR DE LOGÍSTICA Y PQR</t>
  </si>
  <si>
    <t>REVISOR FISCAL</t>
  </si>
  <si>
    <t>ARRIENDO</t>
  </si>
  <si>
    <t>SERVICIOS PÚBLICOS</t>
  </si>
  <si>
    <t>CELULARES</t>
  </si>
  <si>
    <t>PAPELERÍA</t>
  </si>
  <si>
    <t>ADECUACIONES</t>
  </si>
  <si>
    <t>MOBILIARIO</t>
  </si>
  <si>
    <t>SEGUROS</t>
  </si>
  <si>
    <t>VIÁTICOS - TRASLADOS</t>
  </si>
  <si>
    <t>CONCEPTO</t>
  </si>
  <si>
    <t>Viáticos</t>
  </si>
  <si>
    <t>Herramientas</t>
  </si>
  <si>
    <t>Otros</t>
  </si>
  <si>
    <t>Técnico Electricista</t>
  </si>
  <si>
    <t>Ayudante Técnico Electricista</t>
  </si>
  <si>
    <t>Correctivos</t>
  </si>
  <si>
    <t>Personal</t>
  </si>
  <si>
    <t xml:space="preserve"> </t>
  </si>
  <si>
    <t xml:space="preserve">Salarios </t>
  </si>
  <si>
    <t>Prima anual (legal)</t>
  </si>
  <si>
    <t xml:space="preserve"> ÷ 12 =</t>
  </si>
  <si>
    <t>Cesantía</t>
  </si>
  <si>
    <t>Intereses de cesantía</t>
  </si>
  <si>
    <t xml:space="preserve"> x 1.3. =</t>
  </si>
  <si>
    <t>Vacaciones</t>
  </si>
  <si>
    <t>Seguridad Social (salud + pensión)</t>
  </si>
  <si>
    <t>Caja de Compensación Familiar</t>
  </si>
  <si>
    <t>Riesgos Profesionales</t>
  </si>
  <si>
    <t>PARAFISCALES</t>
  </si>
  <si>
    <t>SEGURO</t>
  </si>
  <si>
    <t>Otros (Auxilios varios, prestaciones extralegales, Incapacidades no cubertas)</t>
  </si>
  <si>
    <t>Dotación</t>
  </si>
  <si>
    <t>Salarios y Prestaciones Sociales de Personal</t>
  </si>
  <si>
    <t>FACTOR SALARIAL</t>
  </si>
  <si>
    <t>Salario</t>
  </si>
  <si>
    <t>Responsabilidad civil</t>
  </si>
  <si>
    <t>Industria y comercio</t>
  </si>
  <si>
    <t>GMF y gastos financieros</t>
  </si>
  <si>
    <t>Poliza de calidad del mantenimiento</t>
  </si>
  <si>
    <t>Póliza única de cumplimiento</t>
  </si>
  <si>
    <t>Póliza salarios y prestaciones sociales</t>
  </si>
  <si>
    <t>Riesgo de cartera</t>
  </si>
  <si>
    <t>Mantenimiento Preventivo</t>
  </si>
  <si>
    <t>SST</t>
  </si>
  <si>
    <t>Costo Visita</t>
  </si>
  <si>
    <t>Total usuario año</t>
  </si>
  <si>
    <t>Total usuario mes</t>
  </si>
  <si>
    <t>Usuario</t>
  </si>
  <si>
    <t>ASISTENTE ADMON SUI - SSPD</t>
  </si>
  <si>
    <t>Calidad del mantenimiento</t>
  </si>
  <si>
    <t>Seguro</t>
  </si>
  <si>
    <t>Cobertura</t>
  </si>
  <si>
    <t>Tasa</t>
  </si>
  <si>
    <t>Valor</t>
  </si>
  <si>
    <t>NU</t>
  </si>
  <si>
    <t>CU</t>
  </si>
  <si>
    <t>%</t>
  </si>
  <si>
    <t>Prima</t>
  </si>
  <si>
    <t>Tasa Total</t>
  </si>
  <si>
    <t>MgC</t>
  </si>
  <si>
    <t>Bancos comerciales</t>
  </si>
  <si>
    <t>Corporaciones financieras</t>
  </si>
  <si>
    <t>Compañías de financiamiento comercial</t>
  </si>
  <si>
    <t>Entidades financieras especiales</t>
  </si>
  <si>
    <t>Cooperativas financieras</t>
  </si>
  <si>
    <t>Total establecimientos</t>
  </si>
  <si>
    <t>Año(aaaa)-Mes(mm)</t>
  </si>
  <si>
    <t>Monto</t>
  </si>
  <si>
    <t/>
  </si>
  <si>
    <r>
      <rPr>
        <b/>
        <sz val="9"/>
        <color theme="1"/>
        <rFont val="Helvetica"/>
      </rPr>
      <t>Fuente:</t>
    </r>
    <r>
      <rPr>
        <sz val="9"/>
        <color theme="1"/>
        <rFont val="Helvetica"/>
      </rPr>
      <t xml:space="preserve"> cálculos del Banco de la República con base en la información del formato 088 de la Superintendencia Financiera de Colombia (</t>
    </r>
    <r>
      <rPr>
        <u/>
        <sz val="9"/>
        <color rgb="FF0000FF"/>
        <rFont val="Helvetica"/>
      </rPr>
      <t>http://www.superfinanciera.gov.co/</t>
    </r>
    <r>
      <rPr>
        <sz val="9"/>
        <color theme="1"/>
        <rFont val="Helvetica"/>
      </rPr>
      <t>).</t>
    </r>
  </si>
  <si>
    <r>
      <rPr>
        <sz val="9"/>
        <color theme="1"/>
        <rFont val="Helvetica"/>
      </rPr>
      <t xml:space="preserve"> </t>
    </r>
    <r>
      <rPr>
        <b/>
        <sz val="9"/>
        <color theme="1"/>
        <rFont val="Helvetica"/>
      </rPr>
      <t>Notas:</t>
    </r>
    <r>
      <rPr>
        <sz val="9"/>
        <color theme="1"/>
        <rFont val="Helvetica"/>
      </rPr>
      <t xml:space="preserve"> </t>
    </r>
  </si>
  <si>
    <t>Tasa efectiva anual obtenida como el promedio ponderado por monto. Monto en millones de pesos colombianos.</t>
  </si>
  <si>
    <r>
      <rPr>
        <sz val="9"/>
        <color theme="1"/>
        <rFont val="Helvetica"/>
      </rPr>
      <t xml:space="preserve">Las tasas de interés de colocación para </t>
    </r>
    <r>
      <rPr>
        <b/>
        <sz val="9"/>
        <color theme="1"/>
        <rFont val="Helvetica"/>
      </rPr>
      <t>total establecimientos</t>
    </r>
    <r>
      <rPr>
        <sz val="9"/>
        <color theme="1"/>
        <rFont val="Helvetica"/>
      </rPr>
      <t xml:space="preserve"> no incluyen las tasas de las entidades financieras especiales excepto la del Fondo Nacional de Ahorro.</t>
    </r>
    <r>
      <rPr>
        <sz val="9"/>
        <color theme="1"/>
        <rFont val="Helvetica"/>
      </rPr>
      <t xml:space="preserve"> </t>
    </r>
  </si>
  <si>
    <r>
      <rPr>
        <b/>
        <sz val="9"/>
        <color theme="1"/>
        <rFont val="Helvetica"/>
      </rPr>
      <t>(-)</t>
    </r>
    <r>
      <rPr>
        <sz val="9"/>
        <color theme="1"/>
        <rFont val="Helvetica"/>
      </rPr>
      <t xml:space="preserve"> Indica que no hay dato disponible.</t>
    </r>
  </si>
  <si>
    <r>
      <rPr>
        <sz val="9"/>
        <color theme="1"/>
        <rFont val="Helvetica"/>
      </rPr>
      <t xml:space="preserve"> </t>
    </r>
    <r>
      <rPr>
        <i/>
        <sz val="9"/>
        <color theme="1"/>
        <rFont val="Helvetica"/>
      </rPr>
      <t>Banco de la República - Gerencia Técnica - información extraída de la bodega de datos -Serankua- el 09/07/2020 22:07:43</t>
    </r>
  </si>
  <si>
    <t>Resumen tasas de colocación</t>
  </si>
  <si>
    <t>1.3.8 Histórico para un tipo de cuenta_periodicidad mensual</t>
  </si>
  <si>
    <t>Tipo de Cuenta</t>
  </si>
  <si>
    <t>Créditos Comerciales (Ordinario)</t>
  </si>
  <si>
    <t>Kd</t>
  </si>
  <si>
    <t>AC</t>
  </si>
  <si>
    <r>
      <t>AM</t>
    </r>
    <r>
      <rPr>
        <vertAlign val="subscript"/>
        <sz val="10"/>
        <color theme="1"/>
        <rFont val="Arial Narrow"/>
        <family val="2"/>
      </rPr>
      <t>NU</t>
    </r>
  </si>
  <si>
    <t>MgAM</t>
  </si>
  <si>
    <r>
      <t>EG</t>
    </r>
    <r>
      <rPr>
        <vertAlign val="subscript"/>
        <sz val="11"/>
        <color theme="1"/>
        <rFont val="Arial Narrow"/>
        <family val="2"/>
      </rPr>
      <t>m</t>
    </r>
  </si>
  <si>
    <r>
      <t>CU</t>
    </r>
    <r>
      <rPr>
        <vertAlign val="subscript"/>
        <sz val="20"/>
        <color theme="1"/>
        <rFont val="Arial Narrow"/>
        <family val="2"/>
      </rPr>
      <t>m</t>
    </r>
  </si>
  <si>
    <r>
      <t>G</t>
    </r>
    <r>
      <rPr>
        <vertAlign val="subscript"/>
        <sz val="16"/>
        <color theme="1"/>
        <rFont val="Arial Narrow"/>
        <family val="2"/>
      </rPr>
      <t>m</t>
    </r>
  </si>
  <si>
    <r>
      <t>C</t>
    </r>
    <r>
      <rPr>
        <vertAlign val="subscript"/>
        <sz val="16"/>
        <color theme="1"/>
        <rFont val="Arial Narrow"/>
        <family val="2"/>
      </rPr>
      <t>m</t>
    </r>
  </si>
  <si>
    <r>
      <t>D</t>
    </r>
    <r>
      <rPr>
        <vertAlign val="subscript"/>
        <sz val="16"/>
        <color theme="1"/>
        <rFont val="Arial Narrow"/>
        <family val="2"/>
      </rPr>
      <t>m</t>
    </r>
  </si>
  <si>
    <r>
      <t>G</t>
    </r>
    <r>
      <rPr>
        <vertAlign val="subscript"/>
        <sz val="12"/>
        <color theme="1"/>
        <rFont val="Arial Narrow"/>
        <family val="2"/>
      </rPr>
      <t>I0</t>
    </r>
  </si>
  <si>
    <r>
      <t>G</t>
    </r>
    <r>
      <rPr>
        <vertAlign val="subscript"/>
        <sz val="12"/>
        <color theme="1"/>
        <rFont val="Arial Narrow"/>
        <family val="2"/>
      </rPr>
      <t>AM0</t>
    </r>
  </si>
  <si>
    <t>tcs</t>
  </si>
  <si>
    <t>IUCi</t>
  </si>
  <si>
    <t>Wh-día</t>
  </si>
  <si>
    <t>días</t>
  </si>
  <si>
    <t>Días del mes m.</t>
  </si>
  <si>
    <t>Nivel de servicio.</t>
  </si>
  <si>
    <t>IPP Oferta Interna.</t>
  </si>
  <si>
    <t>VUi</t>
  </si>
  <si>
    <t>Módulos</t>
  </si>
  <si>
    <t>Tasa de descuento E.A.</t>
  </si>
  <si>
    <t>01</t>
  </si>
  <si>
    <t>No.</t>
  </si>
  <si>
    <r>
      <t>C*</t>
    </r>
    <r>
      <rPr>
        <vertAlign val="subscript"/>
        <sz val="10"/>
        <color theme="1"/>
        <rFont val="Arial Narrow"/>
        <family val="2"/>
      </rPr>
      <t>0r</t>
    </r>
  </si>
  <si>
    <t>02</t>
  </si>
  <si>
    <t>03</t>
  </si>
  <si>
    <r>
      <t>MP</t>
    </r>
    <r>
      <rPr>
        <vertAlign val="subscript"/>
        <sz val="10"/>
        <color theme="1"/>
        <rFont val="Arial Narrow"/>
        <family val="2"/>
      </rPr>
      <t>r,NS</t>
    </r>
  </si>
  <si>
    <t>Número de usuarios atendidos.</t>
  </si>
  <si>
    <t>#</t>
  </si>
  <si>
    <t>Región.</t>
  </si>
  <si>
    <t>r</t>
  </si>
  <si>
    <t>Tipo de corriente de salida</t>
  </si>
  <si>
    <r>
      <t>NS</t>
    </r>
    <r>
      <rPr>
        <i/>
        <vertAlign val="subscript"/>
        <sz val="11"/>
        <color theme="1"/>
        <rFont val="Arial Narrow"/>
        <family val="2"/>
      </rPr>
      <t>r,tcs</t>
    </r>
  </si>
  <si>
    <r>
      <t>Dias</t>
    </r>
    <r>
      <rPr>
        <i/>
        <vertAlign val="subscript"/>
        <sz val="11"/>
        <color theme="1"/>
        <rFont val="Arial Narrow"/>
        <family val="2"/>
      </rPr>
      <t>m</t>
    </r>
  </si>
  <si>
    <r>
      <t>IPP</t>
    </r>
    <r>
      <rPr>
        <i/>
        <vertAlign val="subscript"/>
        <sz val="11"/>
        <color theme="1"/>
        <rFont val="Arial Narrow"/>
        <family val="2"/>
      </rPr>
      <t>0</t>
    </r>
  </si>
  <si>
    <r>
      <t>IPP</t>
    </r>
    <r>
      <rPr>
        <i/>
        <vertAlign val="subscript"/>
        <sz val="11"/>
        <color theme="1"/>
        <rFont val="Arial Narrow"/>
        <family val="2"/>
      </rPr>
      <t>m-1</t>
    </r>
  </si>
  <si>
    <r>
      <t>P</t>
    </r>
    <r>
      <rPr>
        <i/>
        <vertAlign val="subscript"/>
        <sz val="11"/>
        <color theme="1"/>
        <rFont val="Arial Narrow"/>
        <family val="2"/>
      </rPr>
      <t>E</t>
    </r>
  </si>
  <si>
    <t>NO</t>
  </si>
  <si>
    <t>SI</t>
  </si>
  <si>
    <r>
      <t>C</t>
    </r>
    <r>
      <rPr>
        <vertAlign val="subscript"/>
        <sz val="12"/>
        <color theme="1"/>
        <rFont val="Arial Narrow"/>
        <family val="2"/>
      </rPr>
      <t>0</t>
    </r>
  </si>
  <si>
    <t>Porcentaje traslado inversiones usuarios.</t>
  </si>
  <si>
    <t>puntos</t>
  </si>
  <si>
    <r>
      <t>G</t>
    </r>
    <r>
      <rPr>
        <vertAlign val="subscript"/>
        <sz val="11"/>
        <color theme="1"/>
        <rFont val="Arial Narrow"/>
        <family val="2"/>
      </rPr>
      <t>I0i</t>
    </r>
  </si>
  <si>
    <t>Part%</t>
  </si>
  <si>
    <t>Nivel de servicio (Wh-día)</t>
  </si>
  <si>
    <t>Días laborables al año</t>
  </si>
  <si>
    <t>Visitas x usuario año</t>
  </si>
  <si>
    <t>Visitas x cuadrilla al año</t>
  </si>
  <si>
    <t>Visitas x día</t>
  </si>
  <si>
    <t>Factor Salarial</t>
  </si>
  <si>
    <t>1. PARÁMETROS</t>
  </si>
  <si>
    <t>2. EJEMPLO NIVELES DE SERVICIO</t>
  </si>
  <si>
    <r>
      <t xml:space="preserve">3. EJEMPLO UNIDADES CONSTRUCTIVAS DEL NIVEL DE SERVICIO </t>
    </r>
    <r>
      <rPr>
        <b/>
        <i/>
        <sz val="11"/>
        <color theme="1"/>
        <rFont val="Arial Narrow"/>
        <family val="2"/>
      </rPr>
      <t>NS</t>
    </r>
    <r>
      <rPr>
        <b/>
        <sz val="11"/>
        <color theme="1"/>
        <rFont val="Arial Narrow"/>
        <family val="2"/>
      </rPr>
      <t xml:space="preserve">, REGIÓN </t>
    </r>
    <r>
      <rPr>
        <b/>
        <i/>
        <sz val="11"/>
        <color theme="1"/>
        <rFont val="Arial Narrow"/>
        <family val="2"/>
      </rPr>
      <t>r Y</t>
    </r>
    <r>
      <rPr>
        <b/>
        <sz val="11"/>
        <color theme="1"/>
        <rFont val="Arial Narrow"/>
        <family val="2"/>
      </rPr>
      <t xml:space="preserve"> TIPO DE CORRIENTE DE SALIDA </t>
    </r>
    <r>
      <rPr>
        <b/>
        <i/>
        <sz val="11"/>
        <color theme="1"/>
        <rFont val="Arial Narrow"/>
        <family val="2"/>
      </rPr>
      <t>tcs</t>
    </r>
  </si>
  <si>
    <t>Tasa anual de falla</t>
  </si>
  <si>
    <t>Valor mensual por falla</t>
  </si>
  <si>
    <t>Valor equipos</t>
  </si>
  <si>
    <t>Otros costos de instalación</t>
  </si>
  <si>
    <t>Relación falla / remuneración</t>
  </si>
  <si>
    <t>Valor mensual</t>
  </si>
  <si>
    <t>2. EJEMPLO TASA DE FALLA</t>
  </si>
  <si>
    <t>Todo riesgo materiales</t>
  </si>
  <si>
    <t>Relación prima / remuneración</t>
  </si>
  <si>
    <t>3. EJEMPLO PRIMA SEGUROS</t>
  </si>
  <si>
    <t>4. CONSOLIDADO</t>
  </si>
  <si>
    <t>Tasa correctivos</t>
  </si>
  <si>
    <t>Tasa primas</t>
  </si>
  <si>
    <t>IVA</t>
  </si>
  <si>
    <t>Costo financiero capital de trabajo</t>
  </si>
  <si>
    <t>Rotación cartera</t>
  </si>
  <si>
    <t>Costo financiero</t>
  </si>
  <si>
    <t>Margen neto</t>
  </si>
  <si>
    <t>Tasa Renta</t>
  </si>
  <si>
    <t>Margen bruto</t>
  </si>
  <si>
    <t>Remuneración comercializador</t>
  </si>
  <si>
    <t>Total primas</t>
  </si>
  <si>
    <t>Total primas, impuestos y contribuciones</t>
  </si>
  <si>
    <t>1. EJEMPLO GASTOS SERVICIOS GENERALES</t>
  </si>
  <si>
    <t>2. EJEMPLO RIESGO DE CARTERA</t>
  </si>
  <si>
    <t>3. EJEMPLO COSTO FINANCIERO DE CAPITAL DE TRABAJO</t>
  </si>
  <si>
    <t>4. EJEMPLO REMUNERACIÓN COMERCIALIZADOR</t>
  </si>
  <si>
    <t>5. EJEMPLO MARGEN TOTAL COMERCIALIZACIÓN</t>
  </si>
  <si>
    <r>
      <t>AM</t>
    </r>
    <r>
      <rPr>
        <i/>
        <vertAlign val="subscript"/>
        <sz val="11"/>
        <color theme="1"/>
        <rFont val="Arial Narrow"/>
        <family val="2"/>
      </rPr>
      <t>GI0</t>
    </r>
  </si>
  <si>
    <r>
      <t>AM</t>
    </r>
    <r>
      <rPr>
        <vertAlign val="subscript"/>
        <sz val="10"/>
        <color theme="1"/>
        <rFont val="Arial Narrow"/>
        <family val="2"/>
      </rPr>
      <t>GI0</t>
    </r>
    <r>
      <rPr>
        <sz val="10"/>
        <color theme="1"/>
        <rFont val="Arial Narrow"/>
        <family val="2"/>
      </rPr>
      <t xml:space="preserve"> X G</t>
    </r>
    <r>
      <rPr>
        <vertAlign val="subscript"/>
        <sz val="10"/>
        <color theme="1"/>
        <rFont val="Arial Narrow"/>
        <family val="2"/>
      </rPr>
      <t>I0</t>
    </r>
  </si>
  <si>
    <t>Margen administración y mantenimiento.</t>
  </si>
  <si>
    <t>Gastos de admón y mantenimientos correctivos.</t>
  </si>
  <si>
    <t>MgAM (Solo Margen)</t>
  </si>
  <si>
    <t xml:space="preserve">Margen comercialización y gastos de ventas. </t>
  </si>
  <si>
    <r>
      <t>MgC X(G</t>
    </r>
    <r>
      <rPr>
        <vertAlign val="subscript"/>
        <sz val="10"/>
        <color theme="1"/>
        <rFont val="Arial Narrow"/>
        <family val="2"/>
      </rPr>
      <t>I0</t>
    </r>
    <r>
      <rPr>
        <sz val="10"/>
        <color theme="1"/>
        <rFont val="Arial Narrow"/>
        <family val="2"/>
      </rPr>
      <t>XP</t>
    </r>
    <r>
      <rPr>
        <vertAlign val="subscript"/>
        <sz val="10"/>
        <color theme="1"/>
        <rFont val="Arial Narrow"/>
        <family val="2"/>
      </rPr>
      <t>E</t>
    </r>
    <r>
      <rPr>
        <sz val="10"/>
        <color theme="1"/>
        <rFont val="Arial Narrow"/>
        <family val="2"/>
      </rPr>
      <t>+G</t>
    </r>
    <r>
      <rPr>
        <vertAlign val="subscript"/>
        <sz val="10"/>
        <color theme="1"/>
        <rFont val="Arial Narrow"/>
        <family val="2"/>
      </rPr>
      <t>AM0</t>
    </r>
    <r>
      <rPr>
        <sz val="10"/>
        <color theme="1"/>
        <rFont val="Arial Narrow"/>
        <family val="2"/>
      </rPr>
      <t>+C*</t>
    </r>
    <r>
      <rPr>
        <vertAlign val="subscript"/>
        <sz val="10"/>
        <color theme="1"/>
        <rFont val="Arial Narrow"/>
        <family val="2"/>
      </rPr>
      <t>0r</t>
    </r>
    <r>
      <rPr>
        <sz val="10"/>
        <color theme="1"/>
        <rFont val="Arial Narrow"/>
        <family val="2"/>
      </rPr>
      <t>)</t>
    </r>
  </si>
  <si>
    <t>4. EJEMPLO CÁLCULO CU Y VALOR PARA TRALSADAR AL USUARIO</t>
  </si>
  <si>
    <t>Fuente</t>
  </si>
  <si>
    <t>SUI</t>
  </si>
  <si>
    <t>PIEC 2019-20203</t>
  </si>
  <si>
    <t>Total ZNI</t>
  </si>
  <si>
    <t>SISFV</t>
  </si>
  <si>
    <t>MME</t>
  </si>
  <si>
    <t>Total SISFV</t>
  </si>
  <si>
    <t>Suscriptor</t>
  </si>
  <si>
    <t>Vivienda sin servicio</t>
  </si>
  <si>
    <t>Tipo usuario</t>
  </si>
  <si>
    <t>% a cargo del usuario</t>
  </si>
  <si>
    <t>Prob Incumplimiento</t>
  </si>
  <si>
    <t>2. EJEMPLO ESTIMACIÓN GASTOS DE PERSONAL ADMINISTRATIVO</t>
  </si>
  <si>
    <t>Número de usuarios</t>
  </si>
  <si>
    <t>2. EJEMPLO ROLES PERSONAL ADMINISTRATIVO</t>
  </si>
  <si>
    <t>3. EJEMPLO SERIVICIOS GENERALES</t>
  </si>
  <si>
    <t>ROL</t>
  </si>
  <si>
    <t>EQUIPOS DE OFICINA - COMPUTADOR - COPIADORA</t>
  </si>
  <si>
    <t>VEHÍCULOS</t>
  </si>
  <si>
    <t>MANTENIMIENTOS</t>
  </si>
  <si>
    <t>Costo Mensual</t>
  </si>
  <si>
    <t>Costo x Usuario</t>
  </si>
  <si>
    <t>Curva</t>
  </si>
  <si>
    <t>Fit Curva</t>
  </si>
  <si>
    <t>Minutos laborales x día</t>
  </si>
  <si>
    <t>Tiempo traslado al usuario (mins)</t>
  </si>
  <si>
    <t>Tiempo mantenimiento (mins)</t>
  </si>
  <si>
    <t>3. EJEMPLO ESTIMACIÓN GASTOS DE SERVICIOS GENERALES</t>
  </si>
  <si>
    <t>4. EJEMPLO FÓRMULA CONSOLIDADA</t>
  </si>
  <si>
    <t>Servicios generales</t>
  </si>
  <si>
    <t>Constante</t>
  </si>
  <si>
    <t>Coeficiente</t>
  </si>
  <si>
    <t>Mínimo eficiente</t>
  </si>
  <si>
    <t>Costos</t>
  </si>
  <si>
    <t>GERENTE</t>
  </si>
  <si>
    <t>ASESOR JURÍDICO</t>
  </si>
  <si>
    <t>1. EJEMPLO ESTIMACIÓN COSTOS DE MANTENIMIENTOS PREVENTIVOS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</si>
</sst>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43" formatCode="_-* #,##0.00_-;\-* #,##0.00_-;_-* &quot;-&quot;??_-;_-@_-"/>
    <numFmt numFmtId="164" formatCode="_-&quot;$&quot;\ * #,##0_-;\-&quot;$&quot;\ * #,##0_-;_-&quot;$&quot;\ * &quot;-&quot;_-;_-@_-"/>
    <numFmt numFmtId="165" formatCode="_-&quot;$&quot;\ * #,##0.00_-;\-&quot;$&quot;\ * #,##0.00_-;_-&quot;$&quot;\ * &quot;-&quot;??_-;_-@_-"/>
    <numFmt numFmtId="169" formatCode="0.0%"/>
    <numFmt numFmtId="170" formatCode="_(&quot;$&quot;\ * #,##0.00_);_(&quot;$&quot;\ * \(#,##0.00\);_(&quot;$&quot;\ * &quot;-&quot;??_);_(@_)"/>
    <numFmt numFmtId="171" formatCode="_(* #,##0.00_);_(* \(#,##0.00\);_(* &quot;-&quot;??_);_(@_)"/>
    <numFmt numFmtId="177" formatCode="yyyy\-mm"/>
  </numFmts>
  <fonts count="33" x14ac:knownFonts="1">
    <font>
      <sz val="11"/>
      <color theme="1"/>
      <name val="Calibri"/>
      <family val="2"/>
      <scheme val="minor"/>
    </font>
    <font>
      <b/>
      <sz val="10"/>
      <color theme="0"/>
      <name val="Arial Narrow"/>
      <family val="2"/>
    </font>
    <font>
      <sz val="10"/>
      <color theme="1"/>
      <name val="Arial Narrow"/>
      <family val="2"/>
    </font>
    <font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10"/>
      <name val="Arial Narrow"/>
      <family val="2"/>
    </font>
    <font>
      <sz val="10"/>
      <name val="Arial Narrow"/>
      <family val="2"/>
    </font>
    <font>
      <b/>
      <sz val="11"/>
      <color theme="0"/>
      <name val="Arial Narrow"/>
      <family val="2"/>
    </font>
    <font>
      <sz val="11"/>
      <color theme="0"/>
      <name val="Arial Narrow"/>
      <family val="2"/>
    </font>
    <font>
      <sz val="20"/>
      <color theme="1"/>
      <name val="Arial Narrow"/>
      <family val="2"/>
    </font>
    <font>
      <sz val="16"/>
      <color theme="1"/>
      <name val="Arial Narrow"/>
      <family val="2"/>
    </font>
    <font>
      <vertAlign val="subscript"/>
      <sz val="10"/>
      <color theme="1"/>
      <name val="Arial Narrow"/>
      <family val="2"/>
    </font>
    <font>
      <vertAlign val="subscript"/>
      <sz val="16"/>
      <color theme="1"/>
      <name val="Arial Narrow"/>
      <family val="2"/>
    </font>
    <font>
      <vertAlign val="subscript"/>
      <sz val="20"/>
      <color theme="1"/>
      <name val="Arial Narrow"/>
      <family val="2"/>
    </font>
    <font>
      <b/>
      <sz val="11"/>
      <color theme="1"/>
      <name val="Calibri"/>
      <family val="2"/>
    </font>
    <font>
      <sz val="10"/>
      <color theme="1"/>
      <name val="Calibri"/>
      <family val="2"/>
    </font>
    <font>
      <b/>
      <sz val="9"/>
      <color theme="1"/>
      <name val="Helvetica"/>
    </font>
    <font>
      <sz val="9"/>
      <color theme="1"/>
      <name val="Helvetica"/>
    </font>
    <font>
      <u/>
      <sz val="9"/>
      <color rgb="FF0000FF"/>
      <name val="Helvetica"/>
    </font>
    <font>
      <i/>
      <sz val="9"/>
      <color theme="1"/>
      <name val="Helvetica"/>
    </font>
    <font>
      <b/>
      <sz val="12"/>
      <color rgb="FF004677"/>
      <name val="Calibri"/>
      <family val="2"/>
    </font>
    <font>
      <sz val="11"/>
      <color rgb="FF333399"/>
      <name val="Calibri"/>
      <family val="2"/>
    </font>
    <font>
      <sz val="9"/>
      <color theme="1"/>
      <name val="Calibri"/>
      <family val="2"/>
    </font>
    <font>
      <sz val="8"/>
      <color theme="1"/>
      <name val="Calibri"/>
      <family val="2"/>
    </font>
    <font>
      <vertAlign val="subscript"/>
      <sz val="11"/>
      <color theme="1"/>
      <name val="Arial Narrow"/>
      <family val="2"/>
    </font>
    <font>
      <sz val="12"/>
      <color theme="1"/>
      <name val="Arial Narrow"/>
      <family val="2"/>
    </font>
    <font>
      <vertAlign val="subscript"/>
      <sz val="12"/>
      <color theme="1"/>
      <name val="Arial Narrow"/>
      <family val="2"/>
    </font>
    <font>
      <i/>
      <sz val="11"/>
      <color theme="1"/>
      <name val="Arial Narrow"/>
      <family val="2"/>
    </font>
    <font>
      <i/>
      <vertAlign val="subscript"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b/>
      <sz val="20"/>
      <color theme="0"/>
      <name val="Arial Narrow"/>
      <family val="2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rgb="FFFFFFFF"/>
      </patternFill>
    </fill>
    <fill>
      <patternFill patternType="solid">
        <fgColor rgb="FFF0F4FA"/>
      </patternFill>
    </fill>
    <fill>
      <patternFill patternType="solid">
        <fgColor rgb="FFD6EAF8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indexed="64"/>
      </right>
      <top style="thin">
        <color indexed="64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/>
      <right/>
      <top style="thin">
        <color rgb="FF979991"/>
      </top>
      <bottom style="thin">
        <color rgb="FF979991"/>
      </bottom>
      <diagonal/>
    </border>
    <border>
      <left/>
      <right style="thin">
        <color rgb="FF979991"/>
      </right>
      <top style="thin">
        <color rgb="FF979991"/>
      </top>
      <bottom style="thin">
        <color rgb="FF979991"/>
      </bottom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0"/>
      </bottom>
      <diagonal/>
    </border>
  </borders>
  <cellStyleXfs count="11">
    <xf numFmtId="0" fontId="0" fillId="0" borderId="0"/>
    <xf numFmtId="9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171" fontId="2" fillId="0" borderId="0" applyFont="0" applyFill="0" applyBorder="0" applyAlignment="0" applyProtection="0"/>
  </cellStyleXfs>
  <cellXfs count="137">
    <xf numFmtId="0" fontId="0" fillId="0" borderId="0" xfId="0"/>
    <xf numFmtId="0" fontId="4" fillId="0" borderId="0" xfId="0" applyFont="1"/>
    <xf numFmtId="0" fontId="5" fillId="0" borderId="0" xfId="0" applyFont="1"/>
    <xf numFmtId="0" fontId="0" fillId="0" borderId="1" xfId="0" applyBorder="1"/>
    <xf numFmtId="10" fontId="5" fillId="0" borderId="0" xfId="1" applyNumberFormat="1" applyFont="1"/>
    <xf numFmtId="0" fontId="2" fillId="0" borderId="0" xfId="0" applyFont="1" applyAlignment="1">
      <alignment vertical="center"/>
    </xf>
    <xf numFmtId="3" fontId="2" fillId="0" borderId="1" xfId="0" applyNumberFormat="1" applyFont="1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0" borderId="0" xfId="0" applyFont="1"/>
    <xf numFmtId="3" fontId="2" fillId="0" borderId="0" xfId="0" applyNumberFormat="1" applyFont="1" applyAlignment="1">
      <alignment vertical="center"/>
    </xf>
    <xf numFmtId="0" fontId="6" fillId="0" borderId="11" xfId="0" applyFont="1" applyBorder="1"/>
    <xf numFmtId="0" fontId="6" fillId="0" borderId="13" xfId="0" applyFont="1" applyBorder="1"/>
    <xf numFmtId="10" fontId="7" fillId="0" borderId="1" xfId="0" applyNumberFormat="1" applyFont="1" applyBorder="1"/>
    <xf numFmtId="10" fontId="7" fillId="0" borderId="13" xfId="0" applyNumberFormat="1" applyFont="1" applyBorder="1"/>
    <xf numFmtId="0" fontId="7" fillId="0" borderId="13" xfId="0" applyFont="1" applyBorder="1" applyAlignment="1">
      <alignment horizontal="left"/>
    </xf>
    <xf numFmtId="10" fontId="6" fillId="0" borderId="1" xfId="0" applyNumberFormat="1" applyFont="1" applyBorder="1"/>
    <xf numFmtId="0" fontId="6" fillId="0" borderId="13" xfId="0" applyFont="1" applyBorder="1" applyAlignment="1">
      <alignment horizontal="right"/>
    </xf>
    <xf numFmtId="0" fontId="11" fillId="0" borderId="1" xfId="0" applyFont="1" applyBorder="1" applyAlignment="1">
      <alignment horizontal="left" vertical="center" indent="1"/>
    </xf>
    <xf numFmtId="3" fontId="11" fillId="0" borderId="1" xfId="0" applyNumberFormat="1" applyFont="1" applyBorder="1" applyAlignment="1">
      <alignment vertical="center"/>
    </xf>
    <xf numFmtId="0" fontId="0" fillId="3" borderId="26" xfId="0" applyFill="1" applyBorder="1" applyAlignment="1">
      <alignment horizontal="left" vertical="top" wrapText="1"/>
    </xf>
    <xf numFmtId="0" fontId="15" fillId="4" borderId="30" xfId="0" applyFont="1" applyFill="1" applyBorder="1" applyAlignment="1">
      <alignment horizontal="center" vertical="center" wrapText="1"/>
    </xf>
    <xf numFmtId="0" fontId="15" fillId="4" borderId="27" xfId="0" applyFont="1" applyFill="1" applyBorder="1" applyAlignment="1">
      <alignment horizontal="center" vertical="center" wrapText="1"/>
    </xf>
    <xf numFmtId="0" fontId="15" fillId="4" borderId="31" xfId="0" applyFont="1" applyFill="1" applyBorder="1" applyAlignment="1">
      <alignment horizontal="center" vertical="center" wrapText="1"/>
    </xf>
    <xf numFmtId="177" fontId="16" fillId="4" borderId="27" xfId="0" applyNumberFormat="1" applyFont="1" applyFill="1" applyBorder="1" applyAlignment="1">
      <alignment horizontal="left" vertical="center" wrapText="1"/>
    </xf>
    <xf numFmtId="10" fontId="16" fillId="3" borderId="27" xfId="0" applyNumberFormat="1" applyFont="1" applyFill="1" applyBorder="1" applyAlignment="1">
      <alignment horizontal="right" vertical="top" wrapText="1"/>
    </xf>
    <xf numFmtId="4" fontId="16" fillId="3" borderId="27" xfId="0" applyNumberFormat="1" applyFont="1" applyFill="1" applyBorder="1" applyAlignment="1">
      <alignment horizontal="right" vertical="top" wrapText="1"/>
    </xf>
    <xf numFmtId="0" fontId="0" fillId="3" borderId="27" xfId="0" applyFill="1" applyBorder="1" applyAlignment="1">
      <alignment horizontal="right" vertical="top" wrapText="1"/>
    </xf>
    <xf numFmtId="4" fontId="16" fillId="3" borderId="31" xfId="0" applyNumberFormat="1" applyFont="1" applyFill="1" applyBorder="1" applyAlignment="1">
      <alignment horizontal="right" vertical="top" wrapText="1"/>
    </xf>
    <xf numFmtId="177" fontId="16" fillId="5" borderId="27" xfId="0" applyNumberFormat="1" applyFont="1" applyFill="1" applyBorder="1" applyAlignment="1">
      <alignment horizontal="left" vertical="center" wrapText="1"/>
    </xf>
    <xf numFmtId="10" fontId="16" fillId="5" borderId="27" xfId="0" applyNumberFormat="1" applyFont="1" applyFill="1" applyBorder="1" applyAlignment="1">
      <alignment horizontal="right" vertical="top" wrapText="1"/>
    </xf>
    <xf numFmtId="4" fontId="16" fillId="5" borderId="27" xfId="0" applyNumberFormat="1" applyFont="1" applyFill="1" applyBorder="1" applyAlignment="1">
      <alignment horizontal="right" vertical="top" wrapText="1"/>
    </xf>
    <xf numFmtId="0" fontId="0" fillId="5" borderId="27" xfId="0" applyFill="1" applyBorder="1" applyAlignment="1">
      <alignment horizontal="right" vertical="top" wrapText="1"/>
    </xf>
    <xf numFmtId="4" fontId="16" fillId="5" borderId="31" xfId="0" applyNumberFormat="1" applyFont="1" applyFill="1" applyBorder="1" applyAlignment="1">
      <alignment horizontal="right" vertical="top" wrapText="1"/>
    </xf>
    <xf numFmtId="0" fontId="0" fillId="0" borderId="0" xfId="0" applyAlignment="1">
      <alignment horizontal="center" vertical="top" wrapText="1"/>
    </xf>
    <xf numFmtId="0" fontId="21" fillId="0" borderId="0" xfId="0" applyFont="1" applyAlignment="1">
      <alignment horizontal="left" vertical="top"/>
    </xf>
    <xf numFmtId="0" fontId="22" fillId="0" borderId="0" xfId="0" applyFont="1" applyAlignment="1">
      <alignment horizontal="left" vertical="top"/>
    </xf>
    <xf numFmtId="0" fontId="23" fillId="0" borderId="0" xfId="0" applyFont="1" applyAlignment="1">
      <alignment horizontal="right" vertical="top"/>
    </xf>
    <xf numFmtId="0" fontId="24" fillId="4" borderId="31" xfId="0" applyFont="1" applyFill="1" applyBorder="1" applyAlignment="1">
      <alignment horizontal="left" vertical="top"/>
    </xf>
    <xf numFmtId="10" fontId="0" fillId="0" borderId="1" xfId="1" applyNumberFormat="1" applyFont="1" applyBorder="1"/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right" vertical="center"/>
    </xf>
    <xf numFmtId="3" fontId="5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horizontal="left" vertical="center" indent="1"/>
    </xf>
    <xf numFmtId="0" fontId="5" fillId="0" borderId="1" xfId="0" applyFont="1" applyBorder="1" applyAlignment="1">
      <alignment horizontal="left" vertical="center" indent="2"/>
    </xf>
    <xf numFmtId="10" fontId="5" fillId="0" borderId="1" xfId="0" applyNumberFormat="1" applyFont="1" applyBorder="1" applyAlignment="1">
      <alignment vertical="center"/>
    </xf>
    <xf numFmtId="10" fontId="5" fillId="0" borderId="1" xfId="1" applyNumberFormat="1" applyFont="1" applyBorder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10" fontId="11" fillId="0" borderId="1" xfId="1" applyNumberFormat="1" applyFont="1" applyBorder="1" applyAlignment="1">
      <alignment vertical="center"/>
    </xf>
    <xf numFmtId="0" fontId="26" fillId="0" borderId="1" xfId="0" applyFont="1" applyBorder="1" applyAlignment="1">
      <alignment horizontal="left" vertical="center" indent="2"/>
    </xf>
    <xf numFmtId="3" fontId="26" fillId="0" borderId="1" xfId="0" applyNumberFormat="1" applyFont="1" applyBorder="1" applyAlignment="1">
      <alignment vertical="center"/>
    </xf>
    <xf numFmtId="0" fontId="26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 indent="3"/>
    </xf>
    <xf numFmtId="0" fontId="5" fillId="0" borderId="1" xfId="0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right" vertical="center"/>
    </xf>
    <xf numFmtId="0" fontId="5" fillId="0" borderId="9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3" fontId="5" fillId="0" borderId="10" xfId="0" applyNumberFormat="1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0" fontId="8" fillId="2" borderId="23" xfId="0" applyFont="1" applyFill="1" applyBorder="1" applyAlignment="1">
      <alignment horizontal="centerContinuous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32" xfId="0" applyFont="1" applyFill="1" applyBorder="1" applyAlignment="1">
      <alignment vertical="center"/>
    </xf>
    <xf numFmtId="0" fontId="8" fillId="2" borderId="33" xfId="0" applyFont="1" applyFill="1" applyBorder="1" applyAlignment="1">
      <alignment horizontal="center" vertical="center"/>
    </xf>
    <xf numFmtId="0" fontId="8" fillId="2" borderId="34" xfId="0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28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10" fontId="5" fillId="0" borderId="1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10" fontId="5" fillId="0" borderId="0" xfId="1" applyNumberFormat="1" applyFont="1" applyBorder="1" applyAlignment="1">
      <alignment horizontal="center" vertical="center"/>
    </xf>
    <xf numFmtId="3" fontId="5" fillId="0" borderId="0" xfId="0" applyNumberFormat="1" applyFont="1" applyBorder="1" applyAlignment="1">
      <alignment horizontal="center" vertical="center"/>
    </xf>
    <xf numFmtId="0" fontId="8" fillId="2" borderId="23" xfId="0" applyFont="1" applyFill="1" applyBorder="1" applyAlignment="1">
      <alignment vertical="center"/>
    </xf>
    <xf numFmtId="0" fontId="8" fillId="2" borderId="24" xfId="0" applyFont="1" applyFill="1" applyBorder="1" applyAlignment="1">
      <alignment horizontal="center" vertical="center"/>
    </xf>
    <xf numFmtId="9" fontId="5" fillId="0" borderId="1" xfId="1" applyFont="1" applyBorder="1" applyAlignment="1">
      <alignment vertical="center"/>
    </xf>
    <xf numFmtId="10" fontId="5" fillId="0" borderId="0" xfId="0" applyNumberFormat="1" applyFont="1" applyAlignment="1">
      <alignment vertical="center"/>
    </xf>
    <xf numFmtId="0" fontId="8" fillId="2" borderId="5" xfId="0" applyFont="1" applyFill="1" applyBorder="1" applyAlignment="1">
      <alignment vertical="center"/>
    </xf>
    <xf numFmtId="0" fontId="8" fillId="2" borderId="7" xfId="0" applyFont="1" applyFill="1" applyBorder="1" applyAlignment="1">
      <alignment vertical="center"/>
    </xf>
    <xf numFmtId="0" fontId="8" fillId="2" borderId="6" xfId="0" applyFont="1" applyFill="1" applyBorder="1" applyAlignment="1">
      <alignment vertical="center"/>
    </xf>
    <xf numFmtId="10" fontId="4" fillId="0" borderId="1" xfId="1" applyNumberFormat="1" applyFont="1" applyBorder="1" applyAlignment="1">
      <alignment vertical="center"/>
    </xf>
    <xf numFmtId="10" fontId="5" fillId="0" borderId="1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9" fontId="5" fillId="0" borderId="0" xfId="1" applyFont="1" applyBorder="1" applyAlignment="1">
      <alignment vertical="center"/>
    </xf>
    <xf numFmtId="10" fontId="5" fillId="0" borderId="0" xfId="1" applyNumberFormat="1" applyFont="1" applyBorder="1" applyAlignment="1">
      <alignment vertical="center"/>
    </xf>
    <xf numFmtId="4" fontId="5" fillId="0" borderId="1" xfId="1" applyNumberFormat="1" applyFont="1" applyBorder="1" applyAlignment="1">
      <alignment vertical="center"/>
    </xf>
    <xf numFmtId="0" fontId="18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18" fillId="0" borderId="0" xfId="0" applyFont="1" applyAlignment="1">
      <alignment horizontal="left" vertical="top" indent="4"/>
    </xf>
    <xf numFmtId="0" fontId="15" fillId="4" borderId="27" xfId="0" applyFont="1" applyFill="1" applyBorder="1" applyAlignment="1">
      <alignment horizontal="center" vertical="center" wrapText="1"/>
    </xf>
    <xf numFmtId="0" fontId="15" fillId="4" borderId="28" xfId="0" applyFont="1" applyFill="1" applyBorder="1" applyAlignment="1">
      <alignment horizontal="center" vertical="center" wrapText="1"/>
    </xf>
    <xf numFmtId="0" fontId="15" fillId="4" borderId="29" xfId="0" applyFont="1" applyFill="1" applyBorder="1" applyAlignment="1">
      <alignment horizontal="center" vertical="center" wrapText="1"/>
    </xf>
    <xf numFmtId="0" fontId="7" fillId="0" borderId="11" xfId="0" applyFont="1" applyBorder="1" applyAlignment="1">
      <alignment horizontal="left"/>
    </xf>
    <xf numFmtId="0" fontId="7" fillId="0" borderId="13" xfId="0" applyFont="1" applyBorder="1" applyAlignment="1">
      <alignment wrapText="1"/>
    </xf>
    <xf numFmtId="0" fontId="6" fillId="0" borderId="21" xfId="0" applyFont="1" applyBorder="1" applyAlignment="1">
      <alignment horizontal="left"/>
    </xf>
    <xf numFmtId="0" fontId="6" fillId="0" borderId="8" xfId="0" applyFont="1" applyBorder="1" applyAlignment="1">
      <alignment wrapText="1"/>
    </xf>
    <xf numFmtId="0" fontId="6" fillId="0" borderId="22" xfId="0" applyFont="1" applyBorder="1" applyAlignment="1">
      <alignment wrapText="1"/>
    </xf>
    <xf numFmtId="0" fontId="28" fillId="0" borderId="1" xfId="0" applyFont="1" applyBorder="1" applyAlignment="1">
      <alignment horizontal="left" vertical="center"/>
    </xf>
    <xf numFmtId="0" fontId="10" fillId="0" borderId="35" xfId="0" applyFont="1" applyBorder="1" applyAlignment="1">
      <alignment vertical="center"/>
    </xf>
    <xf numFmtId="3" fontId="10" fillId="0" borderId="35" xfId="0" applyNumberFormat="1" applyFont="1" applyBorder="1" applyAlignment="1">
      <alignment vertical="center"/>
    </xf>
    <xf numFmtId="0" fontId="31" fillId="2" borderId="2" xfId="0" applyFont="1" applyFill="1" applyBorder="1" applyAlignment="1">
      <alignment vertical="center"/>
    </xf>
    <xf numFmtId="0" fontId="31" fillId="2" borderId="3" xfId="0" applyFont="1" applyFill="1" applyBorder="1" applyAlignment="1">
      <alignment horizontal="center" vertical="center"/>
    </xf>
    <xf numFmtId="0" fontId="31" fillId="2" borderId="4" xfId="0" applyFont="1" applyFill="1" applyBorder="1" applyAlignment="1">
      <alignment horizontal="center" vertical="center"/>
    </xf>
    <xf numFmtId="0" fontId="32" fillId="0" borderId="0" xfId="0" applyFont="1" applyAlignment="1">
      <alignment vertical="center"/>
    </xf>
    <xf numFmtId="0" fontId="32" fillId="0" borderId="1" xfId="0" applyFont="1" applyBorder="1" applyAlignment="1">
      <alignment vertical="center"/>
    </xf>
    <xf numFmtId="3" fontId="32" fillId="0" borderId="1" xfId="0" applyNumberFormat="1" applyFont="1" applyBorder="1" applyAlignment="1">
      <alignment vertical="center"/>
    </xf>
    <xf numFmtId="169" fontId="32" fillId="0" borderId="1" xfId="1" applyNumberFormat="1" applyFont="1" applyBorder="1" applyAlignment="1">
      <alignment vertical="center"/>
    </xf>
    <xf numFmtId="3" fontId="4" fillId="0" borderId="1" xfId="1" applyNumberFormat="1" applyFont="1" applyBorder="1" applyAlignment="1">
      <alignment vertical="center"/>
    </xf>
    <xf numFmtId="4" fontId="4" fillId="0" borderId="1" xfId="1" applyNumberFormat="1" applyFont="1" applyBorder="1" applyAlignment="1">
      <alignment vertical="center"/>
    </xf>
    <xf numFmtId="0" fontId="8" fillId="2" borderId="14" xfId="0" applyFont="1" applyFill="1" applyBorder="1" applyAlignment="1">
      <alignment horizontal="centerContinuous" vertical="center"/>
    </xf>
    <xf numFmtId="0" fontId="8" fillId="2" borderId="15" xfId="0" applyFont="1" applyFill="1" applyBorder="1" applyAlignment="1">
      <alignment horizontal="centerContinuous" vertical="center"/>
    </xf>
    <xf numFmtId="0" fontId="8" fillId="2" borderId="16" xfId="0" applyFont="1" applyFill="1" applyBorder="1" applyAlignment="1">
      <alignment horizontal="centerContinuous" vertical="center"/>
    </xf>
    <xf numFmtId="0" fontId="8" fillId="2" borderId="17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3" fontId="5" fillId="0" borderId="0" xfId="0" applyNumberFormat="1" applyFont="1" applyAlignment="1">
      <alignment vertical="center"/>
    </xf>
    <xf numFmtId="4" fontId="5" fillId="0" borderId="1" xfId="0" applyNumberFormat="1" applyFont="1" applyBorder="1" applyAlignment="1">
      <alignment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Continuous" vertical="center"/>
    </xf>
    <xf numFmtId="0" fontId="5" fillId="0" borderId="11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5" fillId="0" borderId="13" xfId="0" applyFont="1" applyBorder="1" applyAlignment="1">
      <alignment vertical="center"/>
    </xf>
    <xf numFmtId="0" fontId="8" fillId="2" borderId="19" xfId="0" applyFont="1" applyFill="1" applyBorder="1" applyAlignment="1">
      <alignment horizontal="centerContinuous" vertical="center"/>
    </xf>
    <xf numFmtId="3" fontId="5" fillId="0" borderId="0" xfId="0" applyNumberFormat="1" applyFont="1" applyBorder="1" applyAlignment="1">
      <alignment vertical="center"/>
    </xf>
    <xf numFmtId="169" fontId="5" fillId="0" borderId="0" xfId="1" applyNumberFormat="1" applyFont="1" applyBorder="1" applyAlignment="1">
      <alignment vertical="center"/>
    </xf>
    <xf numFmtId="3" fontId="5" fillId="0" borderId="10" xfId="0" applyNumberFormat="1" applyFont="1" applyBorder="1" applyAlignment="1">
      <alignment vertical="center"/>
    </xf>
    <xf numFmtId="169" fontId="5" fillId="0" borderId="1" xfId="1" applyNumberFormat="1" applyFont="1" applyBorder="1" applyAlignment="1">
      <alignment vertical="center"/>
    </xf>
    <xf numFmtId="3" fontId="4" fillId="0" borderId="1" xfId="0" applyNumberFormat="1" applyFont="1" applyBorder="1" applyAlignment="1">
      <alignment vertical="center"/>
    </xf>
    <xf numFmtId="0" fontId="9" fillId="2" borderId="5" xfId="0" applyFont="1" applyFill="1" applyBorder="1" applyAlignment="1">
      <alignment vertical="center"/>
    </xf>
    <xf numFmtId="0" fontId="9" fillId="2" borderId="6" xfId="0" applyFont="1" applyFill="1" applyBorder="1" applyAlignment="1">
      <alignment vertical="center"/>
    </xf>
    <xf numFmtId="169" fontId="4" fillId="0" borderId="1" xfId="1" applyNumberFormat="1" applyFont="1" applyBorder="1" applyAlignment="1">
      <alignment vertical="center"/>
    </xf>
    <xf numFmtId="0" fontId="9" fillId="2" borderId="36" xfId="0" applyFont="1" applyFill="1" applyBorder="1" applyAlignment="1">
      <alignment vertical="center"/>
    </xf>
    <xf numFmtId="0" fontId="9" fillId="2" borderId="7" xfId="0" applyFont="1" applyFill="1" applyBorder="1" applyAlignment="1">
      <alignment vertical="center"/>
    </xf>
  </cellXfs>
  <cellStyles count="11">
    <cellStyle name="Millares [0] 2" xfId="2" xr:uid="{B3A9DCFF-0651-48DF-944F-29B41AB09B5D}"/>
    <cellStyle name="Millares 2" xfId="3" xr:uid="{DD0BB588-B712-46E7-8445-B64D62B71802}"/>
    <cellStyle name="Millares 3" xfId="4" xr:uid="{ABBA8B33-E8A1-43D5-B7FD-24324B88D519}"/>
    <cellStyle name="Millares 4" xfId="10" xr:uid="{7023A700-C077-4754-98AB-19D5CA38BA71}"/>
    <cellStyle name="Moneda [0] 2" xfId="5" xr:uid="{79A210D0-F1AD-4CDC-8506-251C40706FD5}"/>
    <cellStyle name="Moneda 2" xfId="6" xr:uid="{3CA0712E-9A11-452E-B8FD-120DB32ACFEB}"/>
    <cellStyle name="Moneda 3" xfId="7" xr:uid="{D5B2EFF9-F040-4303-B81C-681952EC4BEF}"/>
    <cellStyle name="Normal" xfId="0" builtinId="0"/>
    <cellStyle name="Normal 2" xfId="8" xr:uid="{C1B902BC-E1F4-41DE-A550-9A8D0A4934D5}"/>
    <cellStyle name="Porcentaje" xfId="1" builtinId="5"/>
    <cellStyle name="Porcentaje 2" xfId="9" xr:uid="{F551EFAD-A471-4873-998F-BD3B778B49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eetMetadata" Target="metadata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2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chemeClr val="tx2">
                    <a:lumMod val="50000"/>
                  </a:schemeClr>
                </a:solidFill>
              </a:rPr>
              <a:t>Curva Personal Administrativo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2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strRef>
              <c:f>'G AM Personal y Serv Generales'!$G$45</c:f>
              <c:strCache>
                <c:ptCount val="1"/>
                <c:pt idx="0">
                  <c:v>Curva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og"/>
            <c:dispRSqr val="0"/>
            <c:dispEq val="1"/>
            <c:trendlineLbl>
              <c:layout>
                <c:manualLayout>
                  <c:x val="8.0163385826771655E-2"/>
                  <c:y val="-0.54429332697049237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100" b="1" i="0" u="none" strike="noStrike" kern="1200" baseline="0">
                      <a:solidFill>
                        <a:schemeClr val="tx2">
                          <a:lumMod val="5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</c:trendlineLbl>
          </c:trendline>
          <c:xVal>
            <c:numRef>
              <c:f>'G AM Personal y Serv Generales'!$B$46:$B$56</c:f>
              <c:numCache>
                <c:formatCode>General</c:formatCode>
                <c:ptCount val="11"/>
                <c:pt idx="0">
                  <c:v>50</c:v>
                </c:pt>
                <c:pt idx="1">
                  <c:v>100</c:v>
                </c:pt>
                <c:pt idx="2">
                  <c:v>150</c:v>
                </c:pt>
                <c:pt idx="3">
                  <c:v>300</c:v>
                </c:pt>
                <c:pt idx="4">
                  <c:v>500</c:v>
                </c:pt>
                <c:pt idx="5">
                  <c:v>1000</c:v>
                </c:pt>
                <c:pt idx="6">
                  <c:v>2000</c:v>
                </c:pt>
                <c:pt idx="7">
                  <c:v>3000</c:v>
                </c:pt>
                <c:pt idx="8">
                  <c:v>4000</c:v>
                </c:pt>
                <c:pt idx="9">
                  <c:v>5000</c:v>
                </c:pt>
                <c:pt idx="10">
                  <c:v>5500</c:v>
                </c:pt>
              </c:numCache>
            </c:numRef>
          </c:xVal>
          <c:yVal>
            <c:numRef>
              <c:f>'G AM Personal y Serv Generales'!$G$46:$G$56</c:f>
              <c:numCache>
                <c:formatCode>#,##0</c:formatCode>
                <c:ptCount val="11"/>
                <c:pt idx="0">
                  <c:v>65506.048875</c:v>
                </c:pt>
                <c:pt idx="1">
                  <c:v>49129.536656250006</c:v>
                </c:pt>
                <c:pt idx="2">
                  <c:v>43670.699249999998</c:v>
                </c:pt>
                <c:pt idx="6">
                  <c:v>16558.473465625</c:v>
                </c:pt>
                <c:pt idx="7">
                  <c:v>14314.284754166667</c:v>
                </c:pt>
                <c:pt idx="8">
                  <c:v>13829.054762500002</c:v>
                </c:pt>
                <c:pt idx="9">
                  <c:v>12737.287281250001</c:v>
                </c:pt>
                <c:pt idx="10">
                  <c:v>14352.121212121214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60CD-4C51-BE51-610294449A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1506831"/>
        <c:axId val="518473231"/>
      </c:scatterChart>
      <c:valAx>
        <c:axId val="3615068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18473231"/>
        <c:crosses val="autoZero"/>
        <c:crossBetween val="midCat"/>
      </c:valAx>
      <c:valAx>
        <c:axId val="5184732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150683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2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>
                <a:solidFill>
                  <a:schemeClr val="tx2">
                    <a:lumMod val="50000"/>
                  </a:schemeClr>
                </a:solidFill>
              </a:rPr>
              <a:t>Curva Servicios Generales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2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strRef>
              <c:f>'G AM Personal y Serv Generales'!$F$63</c:f>
              <c:strCache>
                <c:ptCount val="1"/>
                <c:pt idx="0">
                  <c:v>Curva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og"/>
            <c:dispRSqr val="0"/>
            <c:dispEq val="1"/>
            <c:trendlineLbl>
              <c:layout>
                <c:manualLayout>
                  <c:x val="8.134405074365704E-2"/>
                  <c:y val="-0.44021355285134811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100" b="1" i="0" u="none" strike="noStrike" kern="1200" baseline="0">
                      <a:solidFill>
                        <a:schemeClr val="tx2">
                          <a:lumMod val="5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</c:trendlineLbl>
          </c:trendline>
          <c:xVal>
            <c:numRef>
              <c:f>'G AM Personal y Serv Generales'!$B$64:$B$68</c:f>
              <c:numCache>
                <c:formatCode>General</c:formatCode>
                <c:ptCount val="5"/>
                <c:pt idx="0">
                  <c:v>50</c:v>
                </c:pt>
                <c:pt idx="1">
                  <c:v>100</c:v>
                </c:pt>
                <c:pt idx="2">
                  <c:v>150</c:v>
                </c:pt>
                <c:pt idx="4">
                  <c:v>5500</c:v>
                </c:pt>
              </c:numCache>
            </c:numRef>
          </c:xVal>
          <c:yVal>
            <c:numRef>
              <c:f>'G AM Personal y Serv Generales'!$F$64:$F$68</c:f>
              <c:numCache>
                <c:formatCode>#,##0</c:formatCode>
                <c:ptCount val="5"/>
                <c:pt idx="0">
                  <c:v>12000</c:v>
                </c:pt>
                <c:pt idx="1">
                  <c:v>7200</c:v>
                </c:pt>
                <c:pt idx="2">
                  <c:v>6000</c:v>
                </c:pt>
                <c:pt idx="4">
                  <c:v>5000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C642-4619-AC24-C3E32F5855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1506831"/>
        <c:axId val="518473231"/>
      </c:scatterChart>
      <c:valAx>
        <c:axId val="36150683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18473231"/>
        <c:crosses val="autoZero"/>
        <c:crossBetween val="midCat"/>
      </c:valAx>
      <c:valAx>
        <c:axId val="5184732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150683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266700</xdr:colOff>
      <xdr:row>44</xdr:row>
      <xdr:rowOff>28575</xdr:rowOff>
    </xdr:from>
    <xdr:to>
      <xdr:col>13</xdr:col>
      <xdr:colOff>266700</xdr:colOff>
      <xdr:row>56</xdr:row>
      <xdr:rowOff>28575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2FD5750-C38D-48F7-875B-9440D548FCB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266700</xdr:colOff>
      <xdr:row>62</xdr:row>
      <xdr:rowOff>28575</xdr:rowOff>
    </xdr:from>
    <xdr:to>
      <xdr:col>13</xdr:col>
      <xdr:colOff>266700</xdr:colOff>
      <xdr:row>74</xdr:row>
      <xdr:rowOff>28575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A5AAE448-22F7-4456-860D-C198FB9413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www.superfinanciera.gov.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32717-4B50-4D98-A5B1-DA763FB1DA3B}">
  <sheetPr codeName="Hoja2"/>
  <dimension ref="B2:N58"/>
  <sheetViews>
    <sheetView showGridLines="0" tabSelected="1" zoomScaleNormal="100" workbookViewId="0">
      <selection activeCell="B2" sqref="B2"/>
    </sheetView>
  </sheetViews>
  <sheetFormatPr baseColWidth="10" defaultRowHeight="16.5" x14ac:dyDescent="0.25"/>
  <cols>
    <col min="1" max="1" width="1.7109375" style="42" customWidth="1"/>
    <col min="2" max="2" width="23.28515625" style="42" bestFit="1" customWidth="1"/>
    <col min="3" max="4" width="13.7109375" style="42" customWidth="1"/>
    <col min="5" max="5" width="39.42578125" style="42" bestFit="1" customWidth="1"/>
    <col min="6" max="9" width="11.5703125" style="42" customWidth="1"/>
    <col min="10" max="14" width="11.7109375" style="42" customWidth="1"/>
    <col min="15" max="16384" width="11.42578125" style="42"/>
  </cols>
  <sheetData>
    <row r="2" spans="2:5" x14ac:dyDescent="0.25">
      <c r="B2" s="70" t="s">
        <v>160</v>
      </c>
    </row>
    <row r="4" spans="2:5" ht="17.25" thickBot="1" x14ac:dyDescent="0.3">
      <c r="B4" s="65" t="s">
        <v>1</v>
      </c>
      <c r="C4" s="66" t="s">
        <v>84</v>
      </c>
      <c r="D4" s="66" t="s">
        <v>3</v>
      </c>
      <c r="E4" s="67" t="s">
        <v>10</v>
      </c>
    </row>
    <row r="5" spans="2:5" ht="18" x14ac:dyDescent="0.25">
      <c r="B5" s="69" t="s">
        <v>142</v>
      </c>
      <c r="C5" s="44">
        <v>2000</v>
      </c>
      <c r="D5" s="56" t="s">
        <v>123</v>
      </c>
      <c r="E5" s="41" t="s">
        <v>126</v>
      </c>
    </row>
    <row r="6" spans="2:5" ht="18" x14ac:dyDescent="0.25">
      <c r="B6" s="69" t="s">
        <v>143</v>
      </c>
      <c r="C6" s="41">
        <v>30</v>
      </c>
      <c r="D6" s="56" t="s">
        <v>124</v>
      </c>
      <c r="E6" s="41" t="s">
        <v>125</v>
      </c>
    </row>
    <row r="7" spans="2:5" ht="18" x14ac:dyDescent="0.25">
      <c r="B7" s="69" t="s">
        <v>144</v>
      </c>
      <c r="C7" s="41">
        <v>122.59</v>
      </c>
      <c r="D7" s="56" t="s">
        <v>151</v>
      </c>
      <c r="E7" s="41" t="s">
        <v>127</v>
      </c>
    </row>
    <row r="8" spans="2:5" ht="18" x14ac:dyDescent="0.25">
      <c r="B8" s="69" t="s">
        <v>145</v>
      </c>
      <c r="C8" s="41">
        <v>122.59</v>
      </c>
      <c r="D8" s="56" t="s">
        <v>151</v>
      </c>
      <c r="E8" s="41" t="s">
        <v>127</v>
      </c>
    </row>
    <row r="9" spans="2:5" x14ac:dyDescent="0.25">
      <c r="B9" s="69" t="s">
        <v>0</v>
      </c>
      <c r="C9" s="47">
        <v>9.6973847637818883E-2</v>
      </c>
      <c r="D9" s="56" t="s">
        <v>87</v>
      </c>
      <c r="E9" s="41" t="s">
        <v>130</v>
      </c>
    </row>
    <row r="10" spans="2:5" x14ac:dyDescent="0.25">
      <c r="B10" s="69" t="s">
        <v>140</v>
      </c>
      <c r="C10" s="58" t="s">
        <v>131</v>
      </c>
      <c r="D10" s="56"/>
      <c r="E10" s="41" t="s">
        <v>139</v>
      </c>
    </row>
    <row r="11" spans="2:5" ht="18" x14ac:dyDescent="0.25">
      <c r="B11" s="99" t="s">
        <v>191</v>
      </c>
      <c r="C11" s="47">
        <f>'G AM Inversiones'!C37</f>
        <v>4.1587286554407424E-2</v>
      </c>
      <c r="D11" s="56" t="s">
        <v>87</v>
      </c>
      <c r="E11" s="41" t="s">
        <v>194</v>
      </c>
    </row>
    <row r="12" spans="2:5" x14ac:dyDescent="0.25">
      <c r="B12" s="99" t="s">
        <v>113</v>
      </c>
      <c r="C12" s="47">
        <v>0.13200000000000001</v>
      </c>
      <c r="D12" s="56" t="s">
        <v>87</v>
      </c>
      <c r="E12" s="41" t="s">
        <v>193</v>
      </c>
    </row>
    <row r="13" spans="2:5" x14ac:dyDescent="0.25">
      <c r="B13" s="99" t="s">
        <v>90</v>
      </c>
      <c r="C13" s="47">
        <f>'Margen C'!C39</f>
        <v>0.18641703618323613</v>
      </c>
      <c r="D13" s="56" t="s">
        <v>87</v>
      </c>
      <c r="E13" s="41" t="s">
        <v>196</v>
      </c>
    </row>
    <row r="14" spans="2:5" x14ac:dyDescent="0.25">
      <c r="B14" s="69" t="s">
        <v>121</v>
      </c>
      <c r="C14" s="43" t="s">
        <v>111</v>
      </c>
      <c r="D14" s="56"/>
      <c r="E14" s="41" t="s">
        <v>141</v>
      </c>
    </row>
    <row r="15" spans="2:5" x14ac:dyDescent="0.25">
      <c r="B15" s="69" t="s">
        <v>85</v>
      </c>
      <c r="C15" s="44">
        <v>300</v>
      </c>
      <c r="D15" s="56" t="s">
        <v>138</v>
      </c>
      <c r="E15" s="41" t="s">
        <v>137</v>
      </c>
    </row>
    <row r="16" spans="2:5" ht="18" x14ac:dyDescent="0.25">
      <c r="B16" s="69" t="s">
        <v>146</v>
      </c>
      <c r="C16" s="47" cm="1">
        <f t="array" ref="C16" xml:space="preserve"> SUM( (TD*C30:I30*(C32:I32="SI")) / (1-POWER(1+TD,-C31:I31)) )   /   SUM( (TD*C30:I30) / (1-POWER(1+TD,-C31:I31)) )</f>
        <v>0.6879890046565259</v>
      </c>
      <c r="D16" s="57" t="s">
        <v>87</v>
      </c>
      <c r="E16" s="41" t="s">
        <v>150</v>
      </c>
    </row>
    <row r="19" spans="2:14" x14ac:dyDescent="0.25">
      <c r="B19" s="70" t="s">
        <v>161</v>
      </c>
    </row>
    <row r="21" spans="2:14" x14ac:dyDescent="0.25">
      <c r="B21" s="63" t="s">
        <v>154</v>
      </c>
      <c r="C21" s="64" t="s">
        <v>132</v>
      </c>
      <c r="G21" s="72"/>
      <c r="H21" s="73"/>
      <c r="I21" s="73"/>
      <c r="J21" s="73"/>
      <c r="K21" s="73"/>
      <c r="L21" s="73"/>
      <c r="M21" s="73"/>
      <c r="N21" s="73"/>
    </row>
    <row r="22" spans="2:14" x14ac:dyDescent="0.25">
      <c r="B22" s="62">
        <v>1000</v>
      </c>
      <c r="C22" s="68" t="s">
        <v>131</v>
      </c>
      <c r="G22" s="72"/>
      <c r="H22" s="73"/>
      <c r="I22" s="73"/>
      <c r="J22" s="73"/>
      <c r="K22" s="73"/>
      <c r="L22" s="73"/>
      <c r="M22" s="73"/>
      <c r="N22" s="73"/>
    </row>
    <row r="23" spans="2:14" x14ac:dyDescent="0.25">
      <c r="B23" s="62">
        <v>2000</v>
      </c>
      <c r="C23" s="68" t="s">
        <v>134</v>
      </c>
      <c r="G23" s="72"/>
      <c r="H23" s="73"/>
      <c r="I23" s="73"/>
      <c r="J23" s="73"/>
      <c r="K23" s="73"/>
      <c r="L23" s="73"/>
      <c r="M23" s="73"/>
      <c r="N23" s="73"/>
    </row>
    <row r="24" spans="2:14" x14ac:dyDescent="0.25">
      <c r="B24" s="62">
        <v>3000</v>
      </c>
      <c r="C24" s="68" t="s">
        <v>135</v>
      </c>
      <c r="G24" s="72"/>
      <c r="H24" s="73"/>
      <c r="I24" s="73"/>
      <c r="J24" s="73"/>
      <c r="K24" s="73"/>
      <c r="L24" s="73"/>
      <c r="M24" s="73"/>
      <c r="N24" s="73"/>
    </row>
    <row r="25" spans="2:14" x14ac:dyDescent="0.25">
      <c r="G25" s="72"/>
      <c r="H25" s="73"/>
      <c r="I25" s="73"/>
      <c r="J25" s="73"/>
      <c r="K25" s="73"/>
      <c r="L25" s="73"/>
      <c r="M25" s="73"/>
      <c r="N25" s="73"/>
    </row>
    <row r="26" spans="2:14" x14ac:dyDescent="0.25">
      <c r="G26" s="72"/>
      <c r="H26" s="73"/>
      <c r="I26" s="73"/>
      <c r="J26" s="73"/>
      <c r="K26" s="73"/>
      <c r="L26" s="73"/>
      <c r="M26" s="73"/>
      <c r="N26" s="73"/>
    </row>
    <row r="27" spans="2:14" x14ac:dyDescent="0.25">
      <c r="B27" s="70" t="s">
        <v>162</v>
      </c>
      <c r="G27" s="72"/>
      <c r="H27" s="73"/>
      <c r="I27" s="73"/>
      <c r="J27" s="73"/>
      <c r="K27" s="73"/>
      <c r="L27" s="73"/>
      <c r="M27" s="73"/>
      <c r="N27" s="73"/>
    </row>
    <row r="28" spans="2:14" x14ac:dyDescent="0.25">
      <c r="G28" s="72"/>
      <c r="H28" s="73"/>
      <c r="I28" s="73"/>
      <c r="J28" s="73"/>
      <c r="K28" s="73"/>
      <c r="L28" s="73"/>
      <c r="M28" s="73"/>
      <c r="N28" s="73"/>
    </row>
    <row r="29" spans="2:14" ht="17.25" thickBot="1" x14ac:dyDescent="0.3">
      <c r="B29" s="65" t="str">
        <f>_xlfn.CONCAT("UCR",Region,"NS",TEXT(MATCH(NSr_tcs,B22:B24),"00"),TCS,"i")</f>
        <v>UCR01NS02ACi</v>
      </c>
      <c r="C29" s="66" t="s">
        <v>129</v>
      </c>
      <c r="D29" s="66" t="s">
        <v>4</v>
      </c>
      <c r="E29" s="66" t="s">
        <v>6</v>
      </c>
      <c r="F29" s="66" t="s">
        <v>7</v>
      </c>
      <c r="G29" s="66" t="s">
        <v>9</v>
      </c>
      <c r="H29" s="66" t="s">
        <v>5</v>
      </c>
      <c r="I29" s="67" t="s">
        <v>8</v>
      </c>
      <c r="J29" s="73"/>
      <c r="K29" s="73"/>
      <c r="L29" s="73"/>
      <c r="M29" s="73"/>
      <c r="N29" s="73"/>
    </row>
    <row r="30" spans="2:14" x14ac:dyDescent="0.25">
      <c r="B30" s="41" t="s">
        <v>122</v>
      </c>
      <c r="C30" s="62">
        <v>1663007</v>
      </c>
      <c r="D30" s="62">
        <v>574895</v>
      </c>
      <c r="E30" s="62">
        <v>1096108</v>
      </c>
      <c r="F30" s="62">
        <v>2264348</v>
      </c>
      <c r="G30" s="62">
        <v>1032950</v>
      </c>
      <c r="H30" s="62">
        <v>2965268</v>
      </c>
      <c r="I30" s="62">
        <v>629850</v>
      </c>
      <c r="J30" s="73"/>
      <c r="K30" s="73"/>
      <c r="L30" s="73"/>
      <c r="M30" s="73"/>
      <c r="N30" s="73"/>
    </row>
    <row r="31" spans="2:14" x14ac:dyDescent="0.25">
      <c r="B31" s="41" t="s">
        <v>128</v>
      </c>
      <c r="C31" s="56">
        <v>15</v>
      </c>
      <c r="D31" s="56">
        <v>15</v>
      </c>
      <c r="E31" s="56">
        <v>7</v>
      </c>
      <c r="F31" s="56">
        <v>7</v>
      </c>
      <c r="G31" s="56">
        <v>15</v>
      </c>
      <c r="H31" s="56">
        <v>3</v>
      </c>
      <c r="I31" s="56">
        <v>10</v>
      </c>
      <c r="J31" s="73"/>
      <c r="K31" s="73"/>
      <c r="L31" s="73"/>
      <c r="M31" s="73"/>
      <c r="N31" s="73"/>
    </row>
    <row r="32" spans="2:14" ht="18" x14ac:dyDescent="0.25">
      <c r="B32" s="69" t="s">
        <v>146</v>
      </c>
      <c r="C32" s="56" t="s">
        <v>147</v>
      </c>
      <c r="D32" s="56" t="s">
        <v>147</v>
      </c>
      <c r="E32" s="56" t="s">
        <v>147</v>
      </c>
      <c r="F32" s="56" t="s">
        <v>148</v>
      </c>
      <c r="G32" s="56" t="s">
        <v>147</v>
      </c>
      <c r="H32" s="56" t="s">
        <v>148</v>
      </c>
      <c r="I32" s="56" t="s">
        <v>147</v>
      </c>
      <c r="J32" s="73"/>
      <c r="K32" s="73"/>
      <c r="L32" s="73"/>
      <c r="M32" s="73"/>
      <c r="N32" s="73"/>
    </row>
    <row r="33" spans="2:14" ht="18" x14ac:dyDescent="0.25">
      <c r="B33" s="41" t="s">
        <v>152</v>
      </c>
      <c r="C33" s="62">
        <f t="shared" ref="C33:I33" si="0" xml:space="preserve"> (TD*C30)   /   (1-POWER(1+TD,-C31))   /   12</f>
        <v>17906.548734043889</v>
      </c>
      <c r="D33" s="62">
        <f t="shared" si="0"/>
        <v>6190.2236938618798</v>
      </c>
      <c r="E33" s="62">
        <f t="shared" si="0"/>
        <v>18575.682551127218</v>
      </c>
      <c r="F33" s="62">
        <f t="shared" si="0"/>
        <v>38373.782175916807</v>
      </c>
      <c r="G33" s="62">
        <f t="shared" si="0"/>
        <v>11122.364196200399</v>
      </c>
      <c r="H33" s="62">
        <f t="shared" si="0"/>
        <v>98835.907787714808</v>
      </c>
      <c r="I33" s="62">
        <f t="shared" si="0"/>
        <v>8431.3670669366929</v>
      </c>
      <c r="J33" s="73"/>
      <c r="K33" s="73"/>
      <c r="L33" s="73"/>
      <c r="M33" s="73"/>
      <c r="N33" s="73"/>
    </row>
    <row r="34" spans="2:14" x14ac:dyDescent="0.25">
      <c r="B34" s="41" t="s">
        <v>153</v>
      </c>
      <c r="C34" s="71">
        <f t="shared" ref="C34:I34" si="1">C33/SUM($C$33:$I$33)</f>
        <v>8.97859957531702E-2</v>
      </c>
      <c r="D34" s="71">
        <f t="shared" si="1"/>
        <v>3.103866672149834E-2</v>
      </c>
      <c r="E34" s="71">
        <f t="shared" si="1"/>
        <v>9.3141128389350653E-2</v>
      </c>
      <c r="F34" s="71">
        <f t="shared" si="1"/>
        <v>0.19241163077558907</v>
      </c>
      <c r="G34" s="71">
        <f t="shared" si="1"/>
        <v>5.5769124431368694E-2</v>
      </c>
      <c r="H34" s="71">
        <f t="shared" si="1"/>
        <v>0.49557737388093676</v>
      </c>
      <c r="I34" s="71">
        <f t="shared" si="1"/>
        <v>4.2276080048086251E-2</v>
      </c>
      <c r="J34" s="73"/>
      <c r="K34" s="73"/>
      <c r="L34" s="73"/>
      <c r="M34" s="73"/>
      <c r="N34" s="73"/>
    </row>
    <row r="35" spans="2:14" x14ac:dyDescent="0.25">
      <c r="G35" s="72"/>
      <c r="H35" s="73"/>
      <c r="I35" s="73"/>
      <c r="J35" s="73"/>
      <c r="K35" s="73"/>
      <c r="L35" s="73"/>
      <c r="M35" s="73"/>
      <c r="N35" s="73"/>
    </row>
    <row r="36" spans="2:14" x14ac:dyDescent="0.25">
      <c r="G36" s="72"/>
      <c r="H36" s="73"/>
      <c r="I36" s="73"/>
      <c r="J36" s="73"/>
      <c r="K36" s="73"/>
      <c r="L36" s="73"/>
      <c r="M36" s="73"/>
      <c r="N36" s="73"/>
    </row>
    <row r="37" spans="2:14" x14ac:dyDescent="0.25">
      <c r="B37" s="70" t="s">
        <v>198</v>
      </c>
      <c r="G37" s="72"/>
      <c r="H37" s="73"/>
      <c r="I37" s="73"/>
      <c r="J37" s="73"/>
      <c r="K37" s="73"/>
      <c r="L37" s="73"/>
      <c r="M37" s="73"/>
      <c r="N37" s="73"/>
    </row>
    <row r="38" spans="2:14" x14ac:dyDescent="0.25">
      <c r="G38" s="72"/>
      <c r="H38" s="73"/>
      <c r="I38" s="73"/>
      <c r="J38" s="73"/>
      <c r="K38" s="73"/>
      <c r="L38" s="73"/>
      <c r="M38" s="73"/>
      <c r="N38" s="73"/>
    </row>
    <row r="39" spans="2:14" ht="25.5" x14ac:dyDescent="0.25">
      <c r="B39" s="102" t="s">
        <v>2</v>
      </c>
      <c r="C39" s="103" t="s">
        <v>86</v>
      </c>
      <c r="D39" s="104" t="s">
        <v>78</v>
      </c>
      <c r="G39" s="72"/>
      <c r="H39" s="73"/>
      <c r="I39" s="73"/>
      <c r="J39" s="73"/>
      <c r="K39" s="73"/>
      <c r="L39" s="73"/>
      <c r="M39" s="73"/>
      <c r="N39" s="73"/>
    </row>
    <row r="40" spans="2:14" s="49" customFormat="1" ht="30" x14ac:dyDescent="0.25">
      <c r="B40" s="100" t="s">
        <v>115</v>
      </c>
      <c r="C40" s="101">
        <f>(Gm   +   Cm)   *   Dm</f>
        <v>333857.97385888826</v>
      </c>
      <c r="D40" s="101">
        <f>(D42+D52)*D57</f>
        <v>271631.78761671815</v>
      </c>
    </row>
    <row r="41" spans="2:14" x14ac:dyDescent="0.25">
      <c r="B41" s="41"/>
      <c r="C41" s="41"/>
      <c r="D41" s="41"/>
    </row>
    <row r="42" spans="2:14" s="50" customFormat="1" ht="23.25" x14ac:dyDescent="0.25">
      <c r="B42" s="19" t="s">
        <v>116</v>
      </c>
      <c r="C42" s="20">
        <f>(GI0 + GAM0) * IPPm_1 / IPP0</f>
        <v>284591.03771494899</v>
      </c>
      <c r="D42" s="20">
        <f>D44+D46</f>
        <v>222364.85147277889</v>
      </c>
    </row>
    <row r="43" spans="2:14" x14ac:dyDescent="0.25">
      <c r="B43" s="45"/>
      <c r="C43" s="41"/>
      <c r="D43" s="41"/>
    </row>
    <row r="44" spans="2:14" s="54" customFormat="1" ht="18.75" x14ac:dyDescent="0.25">
      <c r="B44" s="52" t="s">
        <v>119</v>
      </c>
      <c r="C44" s="53" cm="1">
        <f t="array" ref="C44" xml:space="preserve"> SUM( (TD*C30:I30) / (1-POWER(1+TD,-C31:I31)) )  /   12</f>
        <v>199435.8762058017</v>
      </c>
      <c r="D44" s="53">
        <f>SUMIFS($C$33:$I$33,$C$32:$I$32,"SI")</f>
        <v>137209.68996363162</v>
      </c>
    </row>
    <row r="45" spans="2:14" x14ac:dyDescent="0.25">
      <c r="B45" s="46"/>
      <c r="C45" s="41"/>
      <c r="D45" s="41"/>
    </row>
    <row r="46" spans="2:14" s="54" customFormat="1" ht="18.75" x14ac:dyDescent="0.25">
      <c r="B46" s="52" t="s">
        <v>120</v>
      </c>
      <c r="C46" s="53">
        <f>(AMNU   +   AMGI0*GI0   +   MPr_NS)   *    (1+MgAM)</f>
        <v>85155.161509147263</v>
      </c>
      <c r="D46" s="53">
        <f>GAM0</f>
        <v>85155.161509147263</v>
      </c>
    </row>
    <row r="47" spans="2:14" s="5" customFormat="1" ht="15.75" customHeight="1" x14ac:dyDescent="0.25">
      <c r="B47" s="55" t="s">
        <v>112</v>
      </c>
      <c r="C47" s="6">
        <f>MIN(68336,113234-11477*LN(NU))</f>
        <v>47771.688538370785</v>
      </c>
      <c r="D47" s="6"/>
      <c r="E47" s="42"/>
    </row>
    <row r="48" spans="2:14" s="5" customFormat="1" ht="15.75" customHeight="1" x14ac:dyDescent="0.25">
      <c r="B48" s="55" t="s">
        <v>192</v>
      </c>
      <c r="C48" s="6">
        <f>AMGI0*GI0</f>
        <v>8293.9969330000004</v>
      </c>
      <c r="D48" s="6"/>
      <c r="E48" s="11"/>
    </row>
    <row r="49" spans="2:4" s="5" customFormat="1" ht="15.75" customHeight="1" x14ac:dyDescent="0.25">
      <c r="B49" s="55" t="s">
        <v>136</v>
      </c>
      <c r="C49" s="6">
        <f>'G AM Preventivos'!C27</f>
        <v>19159.722222222197</v>
      </c>
      <c r="D49" s="6"/>
    </row>
    <row r="50" spans="2:4" s="5" customFormat="1" ht="15.75" customHeight="1" x14ac:dyDescent="0.25">
      <c r="B50" s="55" t="s">
        <v>195</v>
      </c>
      <c r="C50" s="6">
        <f>(AMNU   +   AMGI0*GI0   +   MPr_NS)   *    MgAM</f>
        <v>9929.7538155542734</v>
      </c>
      <c r="D50" s="6"/>
    </row>
    <row r="51" spans="2:4" x14ac:dyDescent="0.25">
      <c r="B51" s="45"/>
      <c r="C51" s="41"/>
      <c r="D51" s="41"/>
    </row>
    <row r="52" spans="2:4" s="50" customFormat="1" ht="23.25" x14ac:dyDescent="0.25">
      <c r="B52" s="19" t="s">
        <v>117</v>
      </c>
      <c r="C52" s="20">
        <f>C0 * IPPm_1 / IPP0</f>
        <v>49266.936143939267</v>
      </c>
      <c r="D52" s="20">
        <f>Cm</f>
        <v>49266.936143939267</v>
      </c>
    </row>
    <row r="53" spans="2:4" s="50" customFormat="1" ht="20.25" x14ac:dyDescent="0.25">
      <c r="B53" s="52" t="s">
        <v>149</v>
      </c>
      <c r="C53" s="53">
        <f>C_0r   +   (GI0*PE   +   GAM0   +   C_0r)   *   MgC</f>
        <v>49266.936143939267</v>
      </c>
      <c r="D53" s="53"/>
    </row>
    <row r="54" spans="2:4" x14ac:dyDescent="0.25">
      <c r="B54" s="55" t="s">
        <v>133</v>
      </c>
      <c r="C54" s="6">
        <v>6586.503179520626</v>
      </c>
      <c r="D54" s="6"/>
    </row>
    <row r="55" spans="2:4" x14ac:dyDescent="0.25">
      <c r="B55" s="55" t="s">
        <v>197</v>
      </c>
      <c r="C55" s="6">
        <f xml:space="preserve"> (GI0*PE   +   GAM0   +   C_0r)   *   MgC</f>
        <v>42680.432964418644</v>
      </c>
      <c r="D55" s="6"/>
    </row>
    <row r="56" spans="2:4" x14ac:dyDescent="0.25">
      <c r="B56" s="45"/>
      <c r="C56" s="41"/>
      <c r="D56" s="41"/>
    </row>
    <row r="57" spans="2:4" s="50" customFormat="1" ht="23.25" x14ac:dyDescent="0.25">
      <c r="B57" s="19" t="s">
        <v>118</v>
      </c>
      <c r="C57" s="51">
        <f>MIN(   EGm/(NSr_tcs*Diasm),   1   )</f>
        <v>1</v>
      </c>
      <c r="D57" s="51">
        <f>Dm</f>
        <v>1</v>
      </c>
    </row>
    <row r="58" spans="2:4" ht="18" x14ac:dyDescent="0.25">
      <c r="B58" s="46" t="s">
        <v>114</v>
      </c>
      <c r="C58" s="44">
        <f>740*3.5*0.8*30</f>
        <v>62160</v>
      </c>
      <c r="D58" s="44"/>
    </row>
  </sheetData>
  <dataValidations disablePrompts="1" count="2">
    <dataValidation type="list" allowBlank="1" showInputMessage="1" showErrorMessage="1" sqref="C14" xr:uid="{C66C97AD-307C-4881-A4C3-0472081D29F2}">
      <formula1>"AC, DC"</formula1>
    </dataValidation>
    <dataValidation type="list" allowBlank="1" showInputMessage="1" showErrorMessage="1" sqref="C32:I32" xr:uid="{26CBBD03-0C9A-4663-A227-C0D15E1E9A39}">
      <formula1>"SI,NO"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91E7A-18CD-4583-8861-1C873900BAB6}">
  <dimension ref="B2:G79"/>
  <sheetViews>
    <sheetView showGridLines="0" workbookViewId="0">
      <selection activeCell="B2" sqref="B2"/>
    </sheetView>
  </sheetViews>
  <sheetFormatPr baseColWidth="10" defaultRowHeight="16.5" x14ac:dyDescent="0.25"/>
  <cols>
    <col min="1" max="1" width="1.7109375" style="42" customWidth="1"/>
    <col min="2" max="2" width="19.5703125" style="42" customWidth="1"/>
    <col min="3" max="4" width="14" style="42" bestFit="1" customWidth="1"/>
    <col min="5" max="5" width="16.5703125" style="42" bestFit="1" customWidth="1"/>
    <col min="6" max="6" width="14.28515625" style="42" bestFit="1" customWidth="1"/>
    <col min="7" max="16384" width="11.42578125" style="42"/>
  </cols>
  <sheetData>
    <row r="2" spans="2:4" x14ac:dyDescent="0.25">
      <c r="B2" s="70" t="s">
        <v>160</v>
      </c>
    </row>
    <row r="4" spans="2:4" x14ac:dyDescent="0.25">
      <c r="B4" s="79" t="s">
        <v>19</v>
      </c>
      <c r="C4" s="109">
        <v>877803</v>
      </c>
    </row>
    <row r="5" spans="2:4" x14ac:dyDescent="0.25">
      <c r="B5" s="81" t="s">
        <v>20</v>
      </c>
      <c r="C5" s="110">
        <f>'Factor Salarial'!F15</f>
        <v>1.6583333333333334</v>
      </c>
    </row>
    <row r="8" spans="2:4" x14ac:dyDescent="0.25">
      <c r="B8" s="70" t="s">
        <v>213</v>
      </c>
    </row>
    <row r="9" spans="2:4" x14ac:dyDescent="0.25">
      <c r="B9" s="70"/>
    </row>
    <row r="10" spans="2:4" x14ac:dyDescent="0.25">
      <c r="B10" s="122" t="s">
        <v>215</v>
      </c>
      <c r="C10" s="122"/>
      <c r="D10" s="122"/>
    </row>
    <row r="11" spans="2:4" x14ac:dyDescent="0.25">
      <c r="B11" s="123" t="s">
        <v>233</v>
      </c>
      <c r="C11" s="125"/>
      <c r="D11" s="124"/>
    </row>
    <row r="12" spans="2:4" x14ac:dyDescent="0.25">
      <c r="B12" s="123" t="s">
        <v>21</v>
      </c>
      <c r="C12" s="125"/>
      <c r="D12" s="124"/>
    </row>
    <row r="13" spans="2:4" x14ac:dyDescent="0.25">
      <c r="B13" s="123" t="s">
        <v>22</v>
      </c>
      <c r="C13" s="125"/>
      <c r="D13" s="124"/>
    </row>
    <row r="14" spans="2:4" x14ac:dyDescent="0.25">
      <c r="B14" s="123" t="s">
        <v>23</v>
      </c>
      <c r="C14" s="125"/>
      <c r="D14" s="124"/>
    </row>
    <row r="15" spans="2:4" x14ac:dyDescent="0.25">
      <c r="B15" s="123" t="s">
        <v>24</v>
      </c>
      <c r="C15" s="125"/>
      <c r="D15" s="124"/>
    </row>
    <row r="16" spans="2:4" x14ac:dyDescent="0.25">
      <c r="B16" s="123" t="s">
        <v>25</v>
      </c>
      <c r="C16" s="125"/>
      <c r="D16" s="124"/>
    </row>
    <row r="17" spans="2:4" x14ac:dyDescent="0.25">
      <c r="B17" s="123" t="s">
        <v>26</v>
      </c>
      <c r="C17" s="125"/>
      <c r="D17" s="124"/>
    </row>
    <row r="18" spans="2:4" x14ac:dyDescent="0.25">
      <c r="B18" s="123" t="s">
        <v>27</v>
      </c>
      <c r="C18" s="125"/>
      <c r="D18" s="124"/>
    </row>
    <row r="19" spans="2:4" x14ac:dyDescent="0.25">
      <c r="B19" s="123" t="s">
        <v>28</v>
      </c>
      <c r="C19" s="125"/>
      <c r="D19" s="124"/>
    </row>
    <row r="20" spans="2:4" x14ac:dyDescent="0.25">
      <c r="B20" s="123" t="s">
        <v>29</v>
      </c>
      <c r="C20" s="125"/>
      <c r="D20" s="124"/>
    </row>
    <row r="21" spans="2:4" x14ac:dyDescent="0.25">
      <c r="B21" s="123" t="s">
        <v>30</v>
      </c>
      <c r="C21" s="125"/>
      <c r="D21" s="124"/>
    </row>
    <row r="22" spans="2:4" x14ac:dyDescent="0.25">
      <c r="B22" s="123" t="s">
        <v>79</v>
      </c>
      <c r="C22" s="125"/>
      <c r="D22" s="124"/>
    </row>
    <row r="23" spans="2:4" x14ac:dyDescent="0.25">
      <c r="B23" s="123" t="s">
        <v>31</v>
      </c>
      <c r="C23" s="125"/>
      <c r="D23" s="124"/>
    </row>
    <row r="24" spans="2:4" x14ac:dyDescent="0.25">
      <c r="B24" s="123" t="s">
        <v>234</v>
      </c>
      <c r="C24" s="125"/>
      <c r="D24" s="124"/>
    </row>
    <row r="25" spans="2:4" x14ac:dyDescent="0.25">
      <c r="B25" s="70"/>
    </row>
    <row r="27" spans="2:4" x14ac:dyDescent="0.25">
      <c r="B27" s="70" t="s">
        <v>214</v>
      </c>
    </row>
    <row r="29" spans="2:4" x14ac:dyDescent="0.25">
      <c r="B29" s="122" t="s">
        <v>40</v>
      </c>
      <c r="C29" s="122"/>
      <c r="D29" s="122"/>
    </row>
    <row r="30" spans="2:4" x14ac:dyDescent="0.25">
      <c r="B30" s="123" t="s">
        <v>32</v>
      </c>
      <c r="C30" s="125"/>
      <c r="D30" s="124"/>
    </row>
    <row r="31" spans="2:4" x14ac:dyDescent="0.25">
      <c r="B31" s="123" t="s">
        <v>33</v>
      </c>
      <c r="C31" s="125"/>
      <c r="D31" s="124"/>
    </row>
    <row r="32" spans="2:4" x14ac:dyDescent="0.25">
      <c r="B32" s="123" t="s">
        <v>34</v>
      </c>
      <c r="C32" s="125"/>
      <c r="D32" s="124"/>
    </row>
    <row r="33" spans="2:7" x14ac:dyDescent="0.25">
      <c r="B33" s="123" t="s">
        <v>35</v>
      </c>
      <c r="C33" s="125"/>
      <c r="D33" s="124"/>
    </row>
    <row r="34" spans="2:7" x14ac:dyDescent="0.25">
      <c r="B34" s="123" t="s">
        <v>36</v>
      </c>
      <c r="C34" s="125"/>
      <c r="D34" s="124"/>
    </row>
    <row r="35" spans="2:7" x14ac:dyDescent="0.25">
      <c r="B35" s="123" t="s">
        <v>218</v>
      </c>
      <c r="C35" s="125"/>
      <c r="D35" s="124"/>
    </row>
    <row r="36" spans="2:7" x14ac:dyDescent="0.25">
      <c r="B36" s="123" t="s">
        <v>216</v>
      </c>
      <c r="C36" s="125"/>
      <c r="D36" s="124"/>
    </row>
    <row r="37" spans="2:7" x14ac:dyDescent="0.25">
      <c r="B37" s="123" t="s">
        <v>37</v>
      </c>
      <c r="C37" s="125"/>
      <c r="D37" s="124"/>
    </row>
    <row r="38" spans="2:7" x14ac:dyDescent="0.25">
      <c r="B38" s="123" t="s">
        <v>38</v>
      </c>
      <c r="C38" s="125"/>
      <c r="D38" s="124"/>
    </row>
    <row r="39" spans="2:7" x14ac:dyDescent="0.25">
      <c r="B39" s="123" t="s">
        <v>217</v>
      </c>
      <c r="C39" s="125"/>
      <c r="D39" s="124"/>
    </row>
    <row r="40" spans="2:7" x14ac:dyDescent="0.25">
      <c r="B40" s="123" t="s">
        <v>39</v>
      </c>
      <c r="C40" s="125"/>
      <c r="D40" s="124"/>
    </row>
    <row r="43" spans="2:7" x14ac:dyDescent="0.25">
      <c r="B43" s="70" t="s">
        <v>211</v>
      </c>
    </row>
    <row r="45" spans="2:7" x14ac:dyDescent="0.25">
      <c r="B45" s="119" t="s">
        <v>212</v>
      </c>
      <c r="C45" s="120" t="s">
        <v>19</v>
      </c>
      <c r="D45" s="120" t="s">
        <v>219</v>
      </c>
      <c r="E45" s="120" t="s">
        <v>220</v>
      </c>
      <c r="F45" s="120" t="s">
        <v>222</v>
      </c>
      <c r="G45" s="121" t="s">
        <v>221</v>
      </c>
    </row>
    <row r="46" spans="2:7" x14ac:dyDescent="0.25">
      <c r="B46" s="41">
        <v>50</v>
      </c>
      <c r="C46" s="118">
        <v>2.25</v>
      </c>
      <c r="D46" s="44">
        <f>C46*$C$4*$C$5</f>
        <v>3275302.4437500001</v>
      </c>
      <c r="E46" s="44">
        <f>D46/B46</f>
        <v>65506.048875</v>
      </c>
      <c r="F46" s="62" t="s">
        <v>148</v>
      </c>
      <c r="G46" s="44">
        <f>IF(F46="SI",E46,"")</f>
        <v>65506.048875</v>
      </c>
    </row>
    <row r="47" spans="2:7" x14ac:dyDescent="0.25">
      <c r="B47" s="41">
        <v>100</v>
      </c>
      <c r="C47" s="118">
        <v>3.375</v>
      </c>
      <c r="D47" s="44">
        <f t="shared" ref="D47:D56" si="0">C47*$C$4*$C$5</f>
        <v>4912953.6656250004</v>
      </c>
      <c r="E47" s="44">
        <f t="shared" ref="E47:E56" si="1">D47/B47</f>
        <v>49129.536656250006</v>
      </c>
      <c r="F47" s="62" t="s">
        <v>148</v>
      </c>
      <c r="G47" s="44">
        <f t="shared" ref="G47:G56" si="2">IF(F47="SI",E47,"")</f>
        <v>49129.536656250006</v>
      </c>
    </row>
    <row r="48" spans="2:7" x14ac:dyDescent="0.25">
      <c r="B48" s="41">
        <v>150</v>
      </c>
      <c r="C48" s="118">
        <v>4.5</v>
      </c>
      <c r="D48" s="44">
        <f t="shared" si="0"/>
        <v>6550604.8875000002</v>
      </c>
      <c r="E48" s="44">
        <f t="shared" si="1"/>
        <v>43670.699249999998</v>
      </c>
      <c r="F48" s="62" t="s">
        <v>148</v>
      </c>
      <c r="G48" s="44">
        <f t="shared" si="2"/>
        <v>43670.699249999998</v>
      </c>
    </row>
    <row r="49" spans="2:7" x14ac:dyDescent="0.25">
      <c r="B49" s="41">
        <v>300</v>
      </c>
      <c r="C49" s="118">
        <v>4.5</v>
      </c>
      <c r="D49" s="44">
        <f t="shared" si="0"/>
        <v>6550604.8875000002</v>
      </c>
      <c r="E49" s="44">
        <f t="shared" si="1"/>
        <v>21835.349624999999</v>
      </c>
      <c r="F49" s="62" t="s">
        <v>147</v>
      </c>
      <c r="G49" s="44"/>
    </row>
    <row r="50" spans="2:7" x14ac:dyDescent="0.25">
      <c r="B50" s="41">
        <v>500</v>
      </c>
      <c r="C50" s="118">
        <v>5.75</v>
      </c>
      <c r="D50" s="44">
        <f t="shared" si="0"/>
        <v>8370217.3562500002</v>
      </c>
      <c r="E50" s="44">
        <f t="shared" si="1"/>
        <v>16740.434712499999</v>
      </c>
      <c r="F50" s="62" t="s">
        <v>147</v>
      </c>
      <c r="G50" s="44"/>
    </row>
    <row r="51" spans="2:7" x14ac:dyDescent="0.25">
      <c r="B51" s="41">
        <v>1000</v>
      </c>
      <c r="C51" s="118">
        <v>8.25</v>
      </c>
      <c r="D51" s="44">
        <f t="shared" si="0"/>
        <v>12009442.293750001</v>
      </c>
      <c r="E51" s="44">
        <f t="shared" si="1"/>
        <v>12009.44229375</v>
      </c>
      <c r="F51" s="62" t="s">
        <v>147</v>
      </c>
      <c r="G51" s="44"/>
    </row>
    <row r="52" spans="2:7" x14ac:dyDescent="0.25">
      <c r="B52" s="41">
        <v>2000</v>
      </c>
      <c r="C52" s="118">
        <v>22.75</v>
      </c>
      <c r="D52" s="44">
        <f t="shared" si="0"/>
        <v>33116946.931250002</v>
      </c>
      <c r="E52" s="44">
        <f t="shared" si="1"/>
        <v>16558.473465625</v>
      </c>
      <c r="F52" s="62" t="s">
        <v>148</v>
      </c>
      <c r="G52" s="44">
        <f t="shared" si="2"/>
        <v>16558.473465625</v>
      </c>
    </row>
    <row r="53" spans="2:7" x14ac:dyDescent="0.25">
      <c r="B53" s="41">
        <v>3000</v>
      </c>
      <c r="C53" s="118">
        <v>29.5</v>
      </c>
      <c r="D53" s="44">
        <f t="shared" si="0"/>
        <v>42942854.262500003</v>
      </c>
      <c r="E53" s="44">
        <f t="shared" si="1"/>
        <v>14314.284754166667</v>
      </c>
      <c r="F53" s="62" t="s">
        <v>148</v>
      </c>
      <c r="G53" s="44">
        <f t="shared" si="2"/>
        <v>14314.284754166667</v>
      </c>
    </row>
    <row r="54" spans="2:7" x14ac:dyDescent="0.25">
      <c r="B54" s="41">
        <v>4000</v>
      </c>
      <c r="C54" s="118">
        <v>38</v>
      </c>
      <c r="D54" s="44">
        <f t="shared" si="0"/>
        <v>55316219.050000004</v>
      </c>
      <c r="E54" s="44">
        <f t="shared" si="1"/>
        <v>13829.054762500002</v>
      </c>
      <c r="F54" s="62" t="s">
        <v>148</v>
      </c>
      <c r="G54" s="44">
        <f t="shared" si="2"/>
        <v>13829.054762500002</v>
      </c>
    </row>
    <row r="55" spans="2:7" x14ac:dyDescent="0.25">
      <c r="B55" s="41">
        <v>5000</v>
      </c>
      <c r="C55" s="118">
        <v>43.75</v>
      </c>
      <c r="D55" s="44">
        <f t="shared" si="0"/>
        <v>63686436.406250007</v>
      </c>
      <c r="E55" s="44">
        <f t="shared" si="1"/>
        <v>12737.287281250001</v>
      </c>
      <c r="F55" s="62" t="s">
        <v>148</v>
      </c>
      <c r="G55" s="44">
        <f t="shared" si="2"/>
        <v>12737.287281250001</v>
      </c>
    </row>
    <row r="56" spans="2:7" x14ac:dyDescent="0.25">
      <c r="B56" s="41">
        <v>5500</v>
      </c>
      <c r="C56" s="118">
        <v>54.226289953440578</v>
      </c>
      <c r="D56" s="44">
        <f t="shared" si="0"/>
        <v>78936666.666666672</v>
      </c>
      <c r="E56" s="44">
        <f t="shared" si="1"/>
        <v>14352.121212121214</v>
      </c>
      <c r="F56" s="62" t="s">
        <v>148</v>
      </c>
      <c r="G56" s="44">
        <f t="shared" si="2"/>
        <v>14352.121212121214</v>
      </c>
    </row>
    <row r="61" spans="2:7" x14ac:dyDescent="0.25">
      <c r="B61" s="70" t="s">
        <v>226</v>
      </c>
    </row>
    <row r="63" spans="2:7" x14ac:dyDescent="0.25">
      <c r="B63" s="119" t="s">
        <v>212</v>
      </c>
      <c r="C63" s="120" t="s">
        <v>219</v>
      </c>
      <c r="D63" s="120" t="s">
        <v>220</v>
      </c>
      <c r="E63" s="120" t="s">
        <v>222</v>
      </c>
      <c r="F63" s="121" t="s">
        <v>221</v>
      </c>
    </row>
    <row r="64" spans="2:7" x14ac:dyDescent="0.25">
      <c r="B64" s="41">
        <v>50</v>
      </c>
      <c r="C64" s="44">
        <v>600000</v>
      </c>
      <c r="D64" s="44">
        <f>C64/B64</f>
        <v>12000</v>
      </c>
      <c r="E64" s="62" t="s">
        <v>148</v>
      </c>
      <c r="F64" s="44">
        <f>IF(E64="SI",D64,"")</f>
        <v>12000</v>
      </c>
    </row>
    <row r="65" spans="2:6" x14ac:dyDescent="0.25">
      <c r="B65" s="41">
        <v>100</v>
      </c>
      <c r="C65" s="44">
        <v>720000</v>
      </c>
      <c r="D65" s="44">
        <f>C65/B65</f>
        <v>7200</v>
      </c>
      <c r="E65" s="62" t="s">
        <v>148</v>
      </c>
      <c r="F65" s="44">
        <f t="shared" ref="F65:F66" si="3">IF(E65="SI",D65,"")</f>
        <v>7200</v>
      </c>
    </row>
    <row r="66" spans="2:6" x14ac:dyDescent="0.25">
      <c r="B66" s="41">
        <v>150</v>
      </c>
      <c r="C66" s="44">
        <v>900000</v>
      </c>
      <c r="D66" s="44">
        <f>C66/B66</f>
        <v>6000</v>
      </c>
      <c r="E66" s="62" t="s">
        <v>148</v>
      </c>
      <c r="F66" s="44">
        <f t="shared" si="3"/>
        <v>6000</v>
      </c>
    </row>
    <row r="68" spans="2:6" x14ac:dyDescent="0.25">
      <c r="B68" s="41">
        <v>5500</v>
      </c>
      <c r="C68" s="44">
        <v>27500000</v>
      </c>
      <c r="D68" s="44">
        <f>C68/B68</f>
        <v>5000</v>
      </c>
      <c r="E68" s="62" t="s">
        <v>148</v>
      </c>
      <c r="F68" s="44">
        <f t="shared" ref="F68" si="4">IF(E68="SI",D68,"")</f>
        <v>5000</v>
      </c>
    </row>
    <row r="71" spans="2:6" x14ac:dyDescent="0.25">
      <c r="B71" s="70" t="s">
        <v>227</v>
      </c>
    </row>
    <row r="73" spans="2:6" x14ac:dyDescent="0.25">
      <c r="B73" s="119"/>
      <c r="C73" s="120" t="s">
        <v>229</v>
      </c>
      <c r="D73" s="121" t="s">
        <v>230</v>
      </c>
    </row>
    <row r="74" spans="2:6" x14ac:dyDescent="0.25">
      <c r="B74" s="41" t="s">
        <v>47</v>
      </c>
      <c r="C74" s="44">
        <v>99862</v>
      </c>
      <c r="D74" s="44">
        <v>-10425</v>
      </c>
    </row>
    <row r="75" spans="2:6" x14ac:dyDescent="0.25">
      <c r="B75" s="41" t="s">
        <v>228</v>
      </c>
      <c r="C75" s="44">
        <v>13372</v>
      </c>
      <c r="D75" s="44">
        <v>-1052</v>
      </c>
    </row>
    <row r="76" spans="2:6" x14ac:dyDescent="0.25">
      <c r="B76" s="41" t="s">
        <v>17</v>
      </c>
      <c r="C76" s="44">
        <f>C74+C75</f>
        <v>113234</v>
      </c>
      <c r="D76" s="44">
        <f>D74+D75</f>
        <v>-11477</v>
      </c>
    </row>
    <row r="78" spans="2:6" x14ac:dyDescent="0.25">
      <c r="B78" s="119"/>
      <c r="C78" s="120" t="s">
        <v>14</v>
      </c>
      <c r="D78" s="121" t="s">
        <v>232</v>
      </c>
    </row>
    <row r="79" spans="2:6" x14ac:dyDescent="0.25">
      <c r="B79" s="41" t="s">
        <v>231</v>
      </c>
      <c r="C79" s="44">
        <v>50</v>
      </c>
      <c r="D79" s="44">
        <f>C76+D76*LN(C79)</f>
        <v>68335.711966701172</v>
      </c>
    </row>
  </sheetData>
  <dataValidations count="1">
    <dataValidation type="list" allowBlank="1" showInputMessage="1" showErrorMessage="1" sqref="F46:F56 E68 E64:E66" xr:uid="{52F64B12-B719-44B4-AD2E-488CA93495C6}">
      <formula1>"SI, NO"</formula1>
    </dataValidation>
  </dataValidations>
  <pageMargins left="0.7" right="0.7" top="0.75" bottom="0.75" header="0.3" footer="0.3"/>
  <pageSetup paperSize="0" orientation="portrait" horizontalDpi="0" verticalDpi="0" copie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47B82-3C99-4DC0-ACD0-61D83262AB64}">
  <dimension ref="B2:N39"/>
  <sheetViews>
    <sheetView showGridLines="0" zoomScaleNormal="100" workbookViewId="0">
      <selection activeCell="B2" sqref="B2"/>
    </sheetView>
  </sheetViews>
  <sheetFormatPr baseColWidth="10" defaultRowHeight="16.5" x14ac:dyDescent="0.25"/>
  <cols>
    <col min="1" max="1" width="1.7109375" style="42" customWidth="1"/>
    <col min="2" max="2" width="24.5703125" style="42" bestFit="1" customWidth="1"/>
    <col min="3" max="4" width="13.7109375" style="42" customWidth="1"/>
    <col min="5" max="5" width="19.85546875" style="42" bestFit="1" customWidth="1"/>
    <col min="6" max="6" width="13.28515625" style="42" bestFit="1" customWidth="1"/>
    <col min="7" max="9" width="11.5703125" style="42" customWidth="1"/>
    <col min="10" max="14" width="11.7109375" style="42" customWidth="1"/>
    <col min="15" max="16384" width="11.42578125" style="42"/>
  </cols>
  <sheetData>
    <row r="2" spans="2:14" x14ac:dyDescent="0.25">
      <c r="B2" s="70" t="s">
        <v>160</v>
      </c>
    </row>
    <row r="4" spans="2:14" ht="17.25" thickBot="1" x14ac:dyDescent="0.3">
      <c r="B4" s="65" t="s">
        <v>1</v>
      </c>
      <c r="C4" s="66" t="s">
        <v>84</v>
      </c>
      <c r="D4" s="66" t="s">
        <v>3</v>
      </c>
      <c r="E4" s="67" t="s">
        <v>10</v>
      </c>
    </row>
    <row r="5" spans="2:14" x14ac:dyDescent="0.25">
      <c r="B5" s="69" t="s">
        <v>0</v>
      </c>
      <c r="C5" s="83">
        <v>9.6973847637818883E-2</v>
      </c>
      <c r="D5" s="56" t="s">
        <v>87</v>
      </c>
      <c r="E5" s="41" t="s">
        <v>130</v>
      </c>
    </row>
    <row r="7" spans="2:14" x14ac:dyDescent="0.25">
      <c r="G7" s="72"/>
      <c r="H7" s="73"/>
      <c r="I7" s="73"/>
      <c r="J7" s="73"/>
      <c r="K7" s="73"/>
      <c r="L7" s="73"/>
      <c r="M7" s="73"/>
      <c r="N7" s="73"/>
    </row>
    <row r="8" spans="2:14" x14ac:dyDescent="0.25">
      <c r="B8" s="70" t="s">
        <v>169</v>
      </c>
      <c r="G8" s="72"/>
      <c r="H8" s="73"/>
      <c r="I8" s="73"/>
      <c r="J8" s="73"/>
      <c r="K8" s="73"/>
      <c r="L8" s="73"/>
      <c r="M8" s="73"/>
      <c r="N8" s="73"/>
    </row>
    <row r="9" spans="2:14" x14ac:dyDescent="0.25">
      <c r="G9" s="72"/>
      <c r="H9" s="73"/>
      <c r="I9" s="73"/>
      <c r="J9" s="73"/>
      <c r="K9" s="73"/>
      <c r="L9" s="73"/>
      <c r="M9" s="73"/>
      <c r="N9" s="73"/>
    </row>
    <row r="10" spans="2:14" ht="17.25" thickBot="1" x14ac:dyDescent="0.3">
      <c r="B10" s="65" t="s">
        <v>46</v>
      </c>
      <c r="C10" s="66" t="s">
        <v>129</v>
      </c>
      <c r="D10" s="66" t="s">
        <v>4</v>
      </c>
      <c r="E10" s="66" t="s">
        <v>6</v>
      </c>
      <c r="F10" s="66" t="s">
        <v>7</v>
      </c>
      <c r="G10" s="66" t="s">
        <v>9</v>
      </c>
      <c r="H10" s="66" t="s">
        <v>5</v>
      </c>
      <c r="I10" s="66" t="s">
        <v>8</v>
      </c>
      <c r="J10" s="67" t="s">
        <v>11</v>
      </c>
      <c r="K10" s="73"/>
      <c r="L10" s="73"/>
      <c r="M10" s="73"/>
      <c r="N10" s="73"/>
    </row>
    <row r="11" spans="2:14" x14ac:dyDescent="0.25">
      <c r="B11" s="41" t="s">
        <v>165</v>
      </c>
      <c r="C11" s="62">
        <v>1120984</v>
      </c>
      <c r="D11" s="62">
        <v>352667</v>
      </c>
      <c r="E11" s="62">
        <v>935853</v>
      </c>
      <c r="F11" s="62">
        <v>1927984</v>
      </c>
      <c r="G11" s="62">
        <v>730800</v>
      </c>
      <c r="H11" s="62">
        <v>2340000</v>
      </c>
      <c r="I11" s="62">
        <v>570000</v>
      </c>
      <c r="J11" s="62">
        <f>SUM(C11:I11)</f>
        <v>7978288</v>
      </c>
      <c r="K11" s="73"/>
      <c r="L11" s="73"/>
      <c r="M11" s="73"/>
      <c r="N11" s="73"/>
    </row>
    <row r="12" spans="2:14" x14ac:dyDescent="0.25">
      <c r="B12" s="41" t="s">
        <v>163</v>
      </c>
      <c r="C12" s="71">
        <v>3.0000000000000001E-3</v>
      </c>
      <c r="D12" s="71">
        <v>2E-3</v>
      </c>
      <c r="E12" s="71">
        <v>7.4999999999999997E-3</v>
      </c>
      <c r="F12" s="71">
        <v>7.4999999999999997E-3</v>
      </c>
      <c r="G12" s="71">
        <v>7.4999999999999997E-3</v>
      </c>
      <c r="H12" s="71">
        <v>0.01</v>
      </c>
      <c r="I12" s="71">
        <v>7.4999999999999997E-3</v>
      </c>
      <c r="J12" s="71"/>
      <c r="K12" s="73"/>
      <c r="L12" s="73"/>
      <c r="M12" s="73"/>
      <c r="N12" s="73"/>
    </row>
    <row r="13" spans="2:14" x14ac:dyDescent="0.25">
      <c r="B13" s="41" t="s">
        <v>164</v>
      </c>
      <c r="C13" s="62">
        <f>C11*C12/12</f>
        <v>280.24600000000004</v>
      </c>
      <c r="D13" s="62">
        <f t="shared" ref="D13:I13" si="0">D11*D12/12</f>
        <v>58.777833333333341</v>
      </c>
      <c r="E13" s="62">
        <f t="shared" si="0"/>
        <v>584.90812500000004</v>
      </c>
      <c r="F13" s="62">
        <f t="shared" si="0"/>
        <v>1204.99</v>
      </c>
      <c r="G13" s="62">
        <f t="shared" si="0"/>
        <v>456.75</v>
      </c>
      <c r="H13" s="62">
        <f t="shared" si="0"/>
        <v>1950</v>
      </c>
      <c r="I13" s="62">
        <f t="shared" si="0"/>
        <v>356.25</v>
      </c>
      <c r="J13" s="62">
        <f>SUM(C13:I13)</f>
        <v>4891.9219583333334</v>
      </c>
      <c r="K13" s="73"/>
      <c r="L13" s="73"/>
      <c r="M13" s="73"/>
      <c r="N13" s="73"/>
    </row>
    <row r="14" spans="2:14" x14ac:dyDescent="0.25">
      <c r="B14" s="59"/>
      <c r="C14" s="72"/>
      <c r="D14" s="72"/>
      <c r="E14" s="72"/>
      <c r="F14" s="72"/>
      <c r="G14" s="72"/>
      <c r="H14" s="72"/>
      <c r="I14" s="72"/>
      <c r="J14" s="60"/>
      <c r="K14" s="73"/>
      <c r="L14" s="73"/>
      <c r="M14" s="73"/>
      <c r="N14" s="73"/>
    </row>
    <row r="15" spans="2:14" x14ac:dyDescent="0.25">
      <c r="B15" s="41" t="s">
        <v>166</v>
      </c>
      <c r="C15" s="62">
        <v>542023</v>
      </c>
      <c r="D15" s="62">
        <v>222228</v>
      </c>
      <c r="E15" s="62">
        <v>160255</v>
      </c>
      <c r="F15" s="62">
        <v>336364</v>
      </c>
      <c r="G15" s="62">
        <v>302150</v>
      </c>
      <c r="H15" s="62">
        <v>625268</v>
      </c>
      <c r="I15" s="62">
        <v>59850</v>
      </c>
      <c r="J15" s="62"/>
      <c r="K15" s="73"/>
      <c r="L15" s="73"/>
      <c r="M15" s="73"/>
      <c r="N15" s="73"/>
    </row>
    <row r="16" spans="2:14" x14ac:dyDescent="0.25">
      <c r="B16" s="41" t="s">
        <v>122</v>
      </c>
      <c r="C16" s="62">
        <f t="shared" ref="C16:I16" si="1">C11+C15</f>
        <v>1663007</v>
      </c>
      <c r="D16" s="62">
        <f t="shared" si="1"/>
        <v>574895</v>
      </c>
      <c r="E16" s="62">
        <f t="shared" si="1"/>
        <v>1096108</v>
      </c>
      <c r="F16" s="62">
        <f t="shared" si="1"/>
        <v>2264348</v>
      </c>
      <c r="G16" s="62">
        <f t="shared" si="1"/>
        <v>1032950</v>
      </c>
      <c r="H16" s="62">
        <f t="shared" si="1"/>
        <v>2965268</v>
      </c>
      <c r="I16" s="62">
        <f t="shared" si="1"/>
        <v>629850</v>
      </c>
      <c r="J16" s="62">
        <f>SUM(C16:I16)</f>
        <v>10226426</v>
      </c>
      <c r="K16" s="73"/>
      <c r="L16" s="73"/>
      <c r="M16" s="73"/>
      <c r="N16" s="73"/>
    </row>
    <row r="17" spans="2:14" x14ac:dyDescent="0.25">
      <c r="B17" s="41" t="s">
        <v>128</v>
      </c>
      <c r="C17" s="56">
        <v>15</v>
      </c>
      <c r="D17" s="56">
        <v>15</v>
      </c>
      <c r="E17" s="56">
        <v>7</v>
      </c>
      <c r="F17" s="56">
        <v>7</v>
      </c>
      <c r="G17" s="56">
        <v>15</v>
      </c>
      <c r="H17" s="56">
        <v>3</v>
      </c>
      <c r="I17" s="56">
        <v>10</v>
      </c>
      <c r="J17" s="56"/>
      <c r="K17" s="73"/>
      <c r="L17" s="73"/>
      <c r="M17" s="73"/>
      <c r="N17" s="73"/>
    </row>
    <row r="18" spans="2:14" ht="18" x14ac:dyDescent="0.25">
      <c r="B18" s="41" t="s">
        <v>152</v>
      </c>
      <c r="C18" s="62">
        <f t="shared" ref="C18:I18" si="2" xml:space="preserve"> (TD*C16)   /   (1-POWER(1+TD,-C17))   /   12</f>
        <v>17906.548734043889</v>
      </c>
      <c r="D18" s="62">
        <f t="shared" si="2"/>
        <v>6190.2236938618798</v>
      </c>
      <c r="E18" s="62">
        <f t="shared" si="2"/>
        <v>18575.682551127218</v>
      </c>
      <c r="F18" s="62">
        <f t="shared" si="2"/>
        <v>38373.782175916807</v>
      </c>
      <c r="G18" s="62">
        <f t="shared" si="2"/>
        <v>11122.364196200399</v>
      </c>
      <c r="H18" s="62">
        <f t="shared" si="2"/>
        <v>98835.907787714808</v>
      </c>
      <c r="I18" s="62">
        <f t="shared" si="2"/>
        <v>8431.3670669366929</v>
      </c>
      <c r="J18" s="62">
        <f>SUM(C18:I18)</f>
        <v>199435.8762058017</v>
      </c>
      <c r="K18" s="73"/>
      <c r="L18" s="73"/>
      <c r="M18" s="73"/>
      <c r="N18" s="73"/>
    </row>
    <row r="19" spans="2:14" x14ac:dyDescent="0.25">
      <c r="B19" s="59"/>
      <c r="C19" s="74"/>
      <c r="D19" s="74"/>
      <c r="E19" s="74"/>
      <c r="F19" s="74"/>
      <c r="G19" s="74"/>
      <c r="H19" s="74"/>
      <c r="I19" s="74"/>
      <c r="J19" s="61"/>
      <c r="K19" s="73"/>
      <c r="L19" s="73"/>
      <c r="M19" s="73"/>
      <c r="N19" s="73"/>
    </row>
    <row r="20" spans="2:14" x14ac:dyDescent="0.25">
      <c r="B20" s="41" t="s">
        <v>167</v>
      </c>
      <c r="C20" s="62"/>
      <c r="D20" s="62"/>
      <c r="E20" s="62"/>
      <c r="F20" s="62"/>
      <c r="G20" s="62"/>
      <c r="H20" s="62"/>
      <c r="I20" s="62"/>
      <c r="J20" s="71">
        <f>J13/J18</f>
        <v>2.4528796179506165E-2</v>
      </c>
      <c r="K20" s="73"/>
      <c r="L20" s="73"/>
      <c r="M20" s="73"/>
      <c r="N20" s="73"/>
    </row>
    <row r="21" spans="2:14" x14ac:dyDescent="0.25">
      <c r="G21" s="72"/>
      <c r="H21" s="73"/>
      <c r="I21" s="73"/>
      <c r="J21" s="73"/>
      <c r="K21" s="73"/>
      <c r="L21" s="73"/>
      <c r="M21" s="73"/>
      <c r="N21" s="73"/>
    </row>
    <row r="22" spans="2:14" x14ac:dyDescent="0.25">
      <c r="G22" s="72"/>
      <c r="H22" s="73"/>
      <c r="I22" s="73"/>
      <c r="J22" s="73"/>
      <c r="K22" s="73"/>
      <c r="L22" s="73"/>
      <c r="M22" s="73"/>
      <c r="N22" s="73"/>
    </row>
    <row r="23" spans="2:14" x14ac:dyDescent="0.25">
      <c r="B23" s="70" t="s">
        <v>172</v>
      </c>
      <c r="G23" s="72"/>
      <c r="H23" s="73"/>
      <c r="I23" s="73"/>
      <c r="J23" s="73"/>
      <c r="K23" s="73"/>
      <c r="L23" s="73"/>
      <c r="M23" s="73"/>
      <c r="N23" s="73"/>
    </row>
    <row r="25" spans="2:14" x14ac:dyDescent="0.25">
      <c r="B25" s="75" t="s">
        <v>81</v>
      </c>
      <c r="C25" s="76" t="s">
        <v>82</v>
      </c>
      <c r="D25" s="76" t="s">
        <v>88</v>
      </c>
      <c r="E25" s="76" t="s">
        <v>176</v>
      </c>
      <c r="F25" s="64" t="s">
        <v>168</v>
      </c>
    </row>
    <row r="26" spans="2:14" x14ac:dyDescent="0.25">
      <c r="B26" s="41" t="s">
        <v>80</v>
      </c>
      <c r="C26" s="77">
        <v>0.2</v>
      </c>
      <c r="D26" s="48">
        <v>1.5E-3</v>
      </c>
      <c r="E26" s="48">
        <v>0.19</v>
      </c>
      <c r="F26" s="62">
        <f>$J$11*C26*D26*(1+E26)/12</f>
        <v>237.35406800000001</v>
      </c>
    </row>
    <row r="27" spans="2:14" x14ac:dyDescent="0.25">
      <c r="B27" s="41" t="s">
        <v>170</v>
      </c>
      <c r="C27" s="77">
        <v>1</v>
      </c>
      <c r="D27" s="48">
        <v>4.0000000000000001E-3</v>
      </c>
      <c r="E27" s="48">
        <v>0.19</v>
      </c>
      <c r="F27" s="62">
        <f>$J$11*C27*D27*(1+E27)/12</f>
        <v>3164.7209066666669</v>
      </c>
    </row>
    <row r="28" spans="2:14" x14ac:dyDescent="0.25">
      <c r="B28" s="41" t="s">
        <v>11</v>
      </c>
      <c r="C28" s="77"/>
      <c r="D28" s="77"/>
      <c r="E28" s="77"/>
      <c r="F28" s="62">
        <f>SUM(F26:F27)</f>
        <v>3402.074974666667</v>
      </c>
    </row>
    <row r="29" spans="2:14" x14ac:dyDescent="0.25">
      <c r="B29" s="59"/>
      <c r="C29" s="72"/>
      <c r="D29" s="72"/>
      <c r="E29" s="72"/>
      <c r="F29" s="60"/>
    </row>
    <row r="30" spans="2:14" x14ac:dyDescent="0.25">
      <c r="B30" s="41" t="s">
        <v>171</v>
      </c>
      <c r="C30" s="62"/>
      <c r="D30" s="62"/>
      <c r="E30" s="62"/>
      <c r="F30" s="71">
        <f>F28/J18</f>
        <v>1.7058490374901258E-2</v>
      </c>
    </row>
    <row r="32" spans="2:14" x14ac:dyDescent="0.25">
      <c r="E32" s="78"/>
    </row>
    <row r="33" spans="2:5" x14ac:dyDescent="0.25">
      <c r="B33" s="70" t="s">
        <v>173</v>
      </c>
      <c r="E33" s="78"/>
    </row>
    <row r="35" spans="2:5" x14ac:dyDescent="0.25">
      <c r="B35" s="79" t="s">
        <v>174</v>
      </c>
      <c r="C35" s="48">
        <f>J20</f>
        <v>2.4528796179506165E-2</v>
      </c>
    </row>
    <row r="36" spans="2:5" x14ac:dyDescent="0.25">
      <c r="B36" s="80" t="s">
        <v>175</v>
      </c>
      <c r="C36" s="48">
        <f>F30</f>
        <v>1.7058490374901258E-2</v>
      </c>
    </row>
    <row r="37" spans="2:5" x14ac:dyDescent="0.25">
      <c r="B37" s="81" t="s">
        <v>89</v>
      </c>
      <c r="C37" s="82">
        <f>C35+C36</f>
        <v>4.1587286554407424E-2</v>
      </c>
    </row>
    <row r="39" spans="2:5" x14ac:dyDescent="0.25">
      <c r="C39" s="78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258D86-D20C-43C0-8BAD-E388E8B53E06}">
  <dimension ref="B2:I27"/>
  <sheetViews>
    <sheetView showGridLines="0" zoomScale="110" zoomScaleNormal="110" workbookViewId="0">
      <selection activeCell="B2" sqref="B2"/>
    </sheetView>
  </sheetViews>
  <sheetFormatPr baseColWidth="10" defaultRowHeight="16.5" x14ac:dyDescent="0.3"/>
  <cols>
    <col min="1" max="1" width="1.7109375" style="2" customWidth="1"/>
    <col min="2" max="2" width="27" style="2" customWidth="1"/>
    <col min="3" max="9" width="12.7109375" style="2" customWidth="1"/>
    <col min="10" max="16384" width="11.42578125" style="2"/>
  </cols>
  <sheetData>
    <row r="2" spans="2:9" s="2" customFormat="1" x14ac:dyDescent="0.3">
      <c r="B2" s="70" t="s">
        <v>235</v>
      </c>
    </row>
    <row r="4" spans="2:9" s="2" customFormat="1" x14ac:dyDescent="0.3">
      <c r="B4" s="111" t="s">
        <v>73</v>
      </c>
      <c r="C4" s="112"/>
      <c r="D4" s="112"/>
      <c r="E4" s="112"/>
      <c r="F4" s="112"/>
      <c r="G4" s="113"/>
      <c r="H4" s="126"/>
    </row>
    <row r="5" spans="2:9" s="2" customFormat="1" x14ac:dyDescent="0.3">
      <c r="B5" s="114" t="s">
        <v>15</v>
      </c>
      <c r="C5" s="115" t="s">
        <v>65</v>
      </c>
      <c r="D5" s="115" t="s">
        <v>41</v>
      </c>
      <c r="E5" s="115" t="s">
        <v>159</v>
      </c>
      <c r="F5" s="115" t="s">
        <v>74</v>
      </c>
      <c r="G5" s="115" t="s">
        <v>43</v>
      </c>
      <c r="H5" s="116" t="s">
        <v>16</v>
      </c>
    </row>
    <row r="6" spans="2:9" s="2" customFormat="1" x14ac:dyDescent="0.3">
      <c r="B6" s="41" t="s">
        <v>44</v>
      </c>
      <c r="C6" s="44">
        <v>1600000</v>
      </c>
      <c r="D6" s="44">
        <v>525000</v>
      </c>
      <c r="E6" s="44">
        <f>C6*0.65833333333333</f>
        <v>1053333.3333333279</v>
      </c>
      <c r="F6" s="44">
        <f>C6*5%</f>
        <v>80000</v>
      </c>
      <c r="G6" s="44">
        <v>50000</v>
      </c>
      <c r="H6" s="44">
        <f>SUM(C6:G6)*12</f>
        <v>39699999.999999933</v>
      </c>
    </row>
    <row r="7" spans="2:9" s="2" customFormat="1" x14ac:dyDescent="0.3">
      <c r="B7" s="41" t="s">
        <v>45</v>
      </c>
      <c r="C7" s="44">
        <v>1100000</v>
      </c>
      <c r="D7" s="44">
        <v>525000</v>
      </c>
      <c r="E7" s="44">
        <f>C7*0.65833333333333</f>
        <v>724166.66666666302</v>
      </c>
      <c r="F7" s="44">
        <f>C7*5%</f>
        <v>55000</v>
      </c>
      <c r="G7" s="44">
        <v>50000</v>
      </c>
      <c r="H7" s="44">
        <f>SUM(C7:G7)*12</f>
        <v>29449999.999999959</v>
      </c>
    </row>
    <row r="8" spans="2:9" s="2" customFormat="1" x14ac:dyDescent="0.3">
      <c r="B8" s="59"/>
      <c r="C8" s="127"/>
      <c r="D8" s="127"/>
      <c r="E8" s="127"/>
      <c r="F8" s="128"/>
      <c r="G8" s="128"/>
      <c r="H8" s="129"/>
    </row>
    <row r="9" spans="2:9" s="2" customFormat="1" x14ac:dyDescent="0.3">
      <c r="B9" s="41" t="s">
        <v>12</v>
      </c>
      <c r="C9" s="44">
        <v>1000000</v>
      </c>
      <c r="D9" s="44"/>
      <c r="E9" s="44"/>
      <c r="F9" s="130"/>
      <c r="G9" s="130"/>
      <c r="H9" s="44">
        <f>C9*12</f>
        <v>12000000</v>
      </c>
    </row>
    <row r="10" spans="2:9" s="2" customFormat="1" x14ac:dyDescent="0.3">
      <c r="B10" s="41" t="s">
        <v>42</v>
      </c>
      <c r="C10" s="44">
        <v>135000</v>
      </c>
      <c r="D10" s="44"/>
      <c r="E10" s="44"/>
      <c r="F10" s="130"/>
      <c r="G10" s="130"/>
      <c r="H10" s="44">
        <f>C10*12</f>
        <v>1620000</v>
      </c>
    </row>
    <row r="11" spans="2:9" s="2" customFormat="1" x14ac:dyDescent="0.3">
      <c r="B11" s="59"/>
      <c r="C11" s="127"/>
      <c r="D11" s="127"/>
      <c r="E11" s="127"/>
      <c r="F11" s="128"/>
      <c r="G11" s="128"/>
      <c r="H11" s="129"/>
    </row>
    <row r="12" spans="2:9" s="2" customFormat="1" x14ac:dyDescent="0.3">
      <c r="B12" s="41" t="s">
        <v>11</v>
      </c>
      <c r="C12" s="44"/>
      <c r="D12" s="44"/>
      <c r="E12" s="44"/>
      <c r="F12" s="130"/>
      <c r="G12" s="130"/>
      <c r="H12" s="131">
        <f>SUM(H6:H10)</f>
        <v>82769999.999999896</v>
      </c>
    </row>
    <row r="13" spans="2:9" s="2" customFormat="1" x14ac:dyDescent="0.3">
      <c r="B13" s="42"/>
      <c r="C13" s="42"/>
      <c r="D13" s="42"/>
      <c r="E13" s="42"/>
      <c r="F13" s="42"/>
      <c r="G13" s="42"/>
      <c r="H13" s="42"/>
      <c r="I13" s="42"/>
    </row>
    <row r="14" spans="2:9" s="2" customFormat="1" x14ac:dyDescent="0.3">
      <c r="B14" s="132" t="s">
        <v>20</v>
      </c>
      <c r="C14" s="110">
        <v>1.6583333333333332</v>
      </c>
      <c r="D14" s="42"/>
      <c r="E14" s="42"/>
      <c r="F14" s="42"/>
      <c r="G14" s="42"/>
      <c r="H14" s="42"/>
      <c r="I14" s="42"/>
    </row>
    <row r="15" spans="2:9" s="2" customFormat="1" x14ac:dyDescent="0.3">
      <c r="B15" s="133" t="s">
        <v>74</v>
      </c>
      <c r="C15" s="134">
        <v>0.05</v>
      </c>
      <c r="D15" s="42"/>
      <c r="E15" s="42"/>
      <c r="F15" s="42"/>
      <c r="G15" s="42"/>
      <c r="H15" s="42"/>
      <c r="I15" s="42"/>
    </row>
    <row r="16" spans="2:9" s="2" customFormat="1" x14ac:dyDescent="0.3">
      <c r="D16" s="42"/>
      <c r="E16" s="42"/>
      <c r="F16" s="42"/>
      <c r="G16" s="42"/>
      <c r="H16" s="42"/>
      <c r="I16" s="42"/>
    </row>
    <row r="17" spans="2:9" s="2" customFormat="1" x14ac:dyDescent="0.3">
      <c r="B17" s="132" t="s">
        <v>224</v>
      </c>
      <c r="C17" s="44">
        <v>40</v>
      </c>
      <c r="D17" s="42"/>
      <c r="E17" s="42"/>
      <c r="F17" s="42"/>
      <c r="G17" s="42"/>
      <c r="H17" s="42"/>
      <c r="I17" s="42"/>
    </row>
    <row r="18" spans="2:9" s="2" customFormat="1" x14ac:dyDescent="0.3">
      <c r="B18" s="135" t="s">
        <v>225</v>
      </c>
      <c r="C18" s="44">
        <v>120</v>
      </c>
      <c r="D18" s="42"/>
      <c r="E18" s="42"/>
      <c r="F18" s="42"/>
      <c r="G18" s="42"/>
      <c r="H18" s="42"/>
      <c r="I18" s="42"/>
    </row>
    <row r="19" spans="2:9" s="2" customFormat="1" x14ac:dyDescent="0.3">
      <c r="B19" s="135" t="s">
        <v>223</v>
      </c>
      <c r="C19" s="44">
        <f>8*60</f>
        <v>480</v>
      </c>
      <c r="D19" s="42"/>
      <c r="E19" s="42"/>
      <c r="F19" s="42"/>
      <c r="G19" s="42"/>
      <c r="H19" s="42"/>
      <c r="I19" s="42"/>
    </row>
    <row r="20" spans="2:9" s="2" customFormat="1" x14ac:dyDescent="0.3">
      <c r="B20" s="135" t="s">
        <v>158</v>
      </c>
      <c r="C20" s="44">
        <f>C19/(C18+C17)</f>
        <v>3</v>
      </c>
      <c r="D20" s="42"/>
      <c r="E20" s="42"/>
      <c r="F20" s="42"/>
      <c r="G20" s="42"/>
      <c r="H20" s="42"/>
      <c r="I20" s="42"/>
    </row>
    <row r="21" spans="2:9" s="2" customFormat="1" x14ac:dyDescent="0.3">
      <c r="B21" s="135" t="s">
        <v>155</v>
      </c>
      <c r="C21" s="44">
        <v>240</v>
      </c>
      <c r="D21" s="42"/>
      <c r="E21" s="42"/>
      <c r="F21" s="42"/>
      <c r="G21" s="42"/>
      <c r="H21" s="42"/>
      <c r="I21" s="42"/>
    </row>
    <row r="22" spans="2:9" s="2" customFormat="1" x14ac:dyDescent="0.3">
      <c r="B22" s="136" t="s">
        <v>157</v>
      </c>
      <c r="C22" s="44">
        <f>C21*C20</f>
        <v>720</v>
      </c>
      <c r="D22" s="117"/>
      <c r="E22" s="42"/>
      <c r="F22" s="42"/>
      <c r="G22" s="42"/>
      <c r="H22" s="42"/>
      <c r="I22" s="42"/>
    </row>
    <row r="23" spans="2:9" s="2" customFormat="1" x14ac:dyDescent="0.3">
      <c r="B23" s="133" t="s">
        <v>75</v>
      </c>
      <c r="C23" s="131">
        <f>H12/C22</f>
        <v>114958.33333333318</v>
      </c>
      <c r="D23" s="42"/>
      <c r="E23" s="42"/>
      <c r="F23" s="42"/>
      <c r="G23" s="42"/>
      <c r="H23" s="42"/>
      <c r="I23" s="42"/>
    </row>
    <row r="25" spans="2:9" s="2" customFormat="1" x14ac:dyDescent="0.3">
      <c r="B25" s="132" t="s">
        <v>156</v>
      </c>
      <c r="C25" s="44">
        <v>2</v>
      </c>
    </row>
    <row r="26" spans="2:9" s="2" customFormat="1" x14ac:dyDescent="0.3">
      <c r="B26" s="136" t="s">
        <v>76</v>
      </c>
      <c r="C26" s="131">
        <f>C23*C25</f>
        <v>229916.66666666637</v>
      </c>
    </row>
    <row r="27" spans="2:9" s="2" customFormat="1" x14ac:dyDescent="0.3">
      <c r="B27" s="133" t="s">
        <v>77</v>
      </c>
      <c r="C27" s="131">
        <f>C26/12</f>
        <v>19159.722222222197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BEF01-D9F1-42E6-8F20-A2360610E30B}">
  <dimension ref="B2:F39"/>
  <sheetViews>
    <sheetView showGridLines="0" workbookViewId="0">
      <selection activeCell="B2" sqref="B2"/>
    </sheetView>
  </sheetViews>
  <sheetFormatPr baseColWidth="10" defaultRowHeight="16.5" x14ac:dyDescent="0.3"/>
  <cols>
    <col min="1" max="1" width="1.7109375" style="2" customWidth="1"/>
    <col min="2" max="2" width="37.7109375" style="2" bestFit="1" customWidth="1"/>
    <col min="3" max="3" width="19.85546875" style="2" bestFit="1" customWidth="1"/>
    <col min="4" max="4" width="19.42578125" style="2" bestFit="1" customWidth="1"/>
    <col min="5" max="5" width="12.7109375" style="2" bestFit="1" customWidth="1"/>
    <col min="6" max="6" width="14.7109375" style="2" customWidth="1"/>
    <col min="7" max="16384" width="11.42578125" style="2"/>
  </cols>
  <sheetData>
    <row r="2" spans="2:6" x14ac:dyDescent="0.3">
      <c r="B2" s="1" t="s">
        <v>186</v>
      </c>
    </row>
    <row r="4" spans="2:6" x14ac:dyDescent="0.3">
      <c r="B4" s="75" t="s">
        <v>81</v>
      </c>
      <c r="C4" s="76" t="s">
        <v>82</v>
      </c>
      <c r="D4" s="76" t="s">
        <v>88</v>
      </c>
      <c r="E4" s="76" t="s">
        <v>176</v>
      </c>
      <c r="F4" s="64" t="s">
        <v>83</v>
      </c>
    </row>
    <row r="5" spans="2:6" x14ac:dyDescent="0.3">
      <c r="B5" s="41" t="s">
        <v>70</v>
      </c>
      <c r="C5" s="77">
        <v>0.3</v>
      </c>
      <c r="D5" s="48">
        <v>1.5E-3</v>
      </c>
      <c r="E5" s="48">
        <v>0.19</v>
      </c>
      <c r="F5" s="48">
        <f>C5*D5*(1+E5)</f>
        <v>5.3549999999999995E-4</v>
      </c>
    </row>
    <row r="6" spans="2:6" x14ac:dyDescent="0.3">
      <c r="B6" s="41" t="s">
        <v>71</v>
      </c>
      <c r="C6" s="77">
        <v>0.2</v>
      </c>
      <c r="D6" s="48">
        <v>1.5E-3</v>
      </c>
      <c r="E6" s="48">
        <v>0.19</v>
      </c>
      <c r="F6" s="48">
        <f t="shared" ref="F6:F8" si="0">C6*D6*(1+E6)</f>
        <v>3.57E-4</v>
      </c>
    </row>
    <row r="7" spans="2:6" x14ac:dyDescent="0.3">
      <c r="B7" s="41" t="s">
        <v>69</v>
      </c>
      <c r="C7" s="77">
        <v>0.2</v>
      </c>
      <c r="D7" s="48">
        <v>1.5E-3</v>
      </c>
      <c r="E7" s="48">
        <v>0.19</v>
      </c>
      <c r="F7" s="48">
        <f t="shared" si="0"/>
        <v>3.57E-4</v>
      </c>
    </row>
    <row r="8" spans="2:6" x14ac:dyDescent="0.3">
      <c r="B8" s="41" t="s">
        <v>66</v>
      </c>
      <c r="C8" s="77">
        <v>0.4</v>
      </c>
      <c r="D8" s="48">
        <v>2.0999999999999999E-3</v>
      </c>
      <c r="E8" s="48">
        <v>0.19</v>
      </c>
      <c r="F8" s="48">
        <f t="shared" si="0"/>
        <v>9.9960000000000001E-4</v>
      </c>
    </row>
    <row r="9" spans="2:6" x14ac:dyDescent="0.3">
      <c r="B9" s="41" t="s">
        <v>184</v>
      </c>
      <c r="C9" s="77"/>
      <c r="D9" s="48"/>
      <c r="E9" s="48"/>
      <c r="F9" s="48">
        <f>SUM(F5:F8)</f>
        <v>2.2491E-3</v>
      </c>
    </row>
    <row r="11" spans="2:6" x14ac:dyDescent="0.3">
      <c r="B11" s="75" t="s">
        <v>18</v>
      </c>
      <c r="C11" s="64" t="s">
        <v>83</v>
      </c>
    </row>
    <row r="12" spans="2:6" x14ac:dyDescent="0.3">
      <c r="B12" s="41" t="s">
        <v>13</v>
      </c>
      <c r="C12" s="48">
        <v>1.01E-2</v>
      </c>
    </row>
    <row r="13" spans="2:6" x14ac:dyDescent="0.3">
      <c r="B13" s="41" t="s">
        <v>68</v>
      </c>
      <c r="C13" s="48">
        <v>4.0000000000000001E-3</v>
      </c>
    </row>
    <row r="14" spans="2:6" x14ac:dyDescent="0.3">
      <c r="B14" s="41" t="s">
        <v>67</v>
      </c>
      <c r="C14" s="48">
        <v>0.01</v>
      </c>
    </row>
    <row r="16" spans="2:6" x14ac:dyDescent="0.3">
      <c r="B16" s="84" t="s">
        <v>185</v>
      </c>
      <c r="C16" s="82">
        <f>F9+SUM(C12:C14)</f>
        <v>2.63491E-2</v>
      </c>
    </row>
    <row r="19" spans="2:5" x14ac:dyDescent="0.3">
      <c r="B19" s="1" t="s">
        <v>187</v>
      </c>
    </row>
    <row r="21" spans="2:5" x14ac:dyDescent="0.3">
      <c r="B21" s="75"/>
      <c r="C21" s="76" t="s">
        <v>209</v>
      </c>
      <c r="D21" s="76" t="s">
        <v>210</v>
      </c>
      <c r="E21" s="64" t="s">
        <v>89</v>
      </c>
    </row>
    <row r="22" spans="2:5" x14ac:dyDescent="0.3">
      <c r="B22" s="41" t="s">
        <v>72</v>
      </c>
      <c r="C22" s="48">
        <v>0.16666666666666666</v>
      </c>
      <c r="D22" s="48">
        <v>0.2</v>
      </c>
      <c r="E22" s="48">
        <f>C22*D22</f>
        <v>3.3333333333333333E-2</v>
      </c>
    </row>
    <row r="25" spans="2:5" x14ac:dyDescent="0.3">
      <c r="B25" s="1" t="s">
        <v>188</v>
      </c>
    </row>
    <row r="27" spans="2:5" x14ac:dyDescent="0.3">
      <c r="B27" s="75"/>
      <c r="C27" s="76" t="s">
        <v>178</v>
      </c>
      <c r="D27" s="76" t="s">
        <v>179</v>
      </c>
      <c r="E27" s="64" t="s">
        <v>89</v>
      </c>
    </row>
    <row r="28" spans="2:5" x14ac:dyDescent="0.3">
      <c r="B28" s="41" t="s">
        <v>177</v>
      </c>
      <c r="C28" s="87">
        <v>0.25</v>
      </c>
      <c r="D28" s="48">
        <f>SUMPRODUCT('Costo financiero'!L207:L223,'Costo financiero'!M207:M223)/SUM('Costo financiero'!M207:M223)</f>
        <v>0.10114130995033571</v>
      </c>
      <c r="E28" s="48">
        <f>C28*D28</f>
        <v>2.5285327487583928E-2</v>
      </c>
    </row>
    <row r="29" spans="2:5" x14ac:dyDescent="0.3">
      <c r="B29" s="72"/>
      <c r="C29" s="85"/>
      <c r="D29" s="86"/>
      <c r="E29" s="86"/>
    </row>
    <row r="30" spans="2:5" x14ac:dyDescent="0.3">
      <c r="B30" s="72"/>
      <c r="C30" s="85"/>
      <c r="D30" s="86"/>
      <c r="E30" s="86"/>
    </row>
    <row r="31" spans="2:5" x14ac:dyDescent="0.3">
      <c r="B31" s="1" t="s">
        <v>189</v>
      </c>
      <c r="C31" s="85"/>
      <c r="D31" s="86"/>
      <c r="E31" s="86"/>
    </row>
    <row r="33" spans="2:6" x14ac:dyDescent="0.3">
      <c r="B33" s="75"/>
      <c r="C33" s="76" t="s">
        <v>180</v>
      </c>
      <c r="D33" s="76" t="s">
        <v>181</v>
      </c>
      <c r="E33" s="64" t="s">
        <v>182</v>
      </c>
    </row>
    <row r="34" spans="2:6" x14ac:dyDescent="0.3">
      <c r="B34" s="41" t="s">
        <v>183</v>
      </c>
      <c r="C34" s="48">
        <v>7.0000000000000007E-2</v>
      </c>
      <c r="D34" s="48">
        <v>0.31</v>
      </c>
      <c r="E34" s="48">
        <f>C34/(1-D34)</f>
        <v>0.10144927536231886</v>
      </c>
      <c r="F34" s="4"/>
    </row>
    <row r="37" spans="2:6" x14ac:dyDescent="0.3">
      <c r="B37" s="1" t="s">
        <v>190</v>
      </c>
    </row>
    <row r="39" spans="2:6" x14ac:dyDescent="0.3">
      <c r="B39" s="84" t="s">
        <v>90</v>
      </c>
      <c r="C39" s="82">
        <f>C16+E22+E28+E34</f>
        <v>0.18641703618323613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D39A9-CEEB-4D49-8FC4-156613FF8F4B}">
  <dimension ref="A1:M233"/>
  <sheetViews>
    <sheetView workbookViewId="0">
      <pane xSplit="1" ySplit="6" topLeftCell="B208" activePane="bottomRight" state="frozen"/>
      <selection pane="topRight" activeCell="B1" sqref="B1"/>
      <selection pane="bottomLeft" activeCell="A7" sqref="A7"/>
      <selection pane="bottomRight"/>
    </sheetView>
  </sheetViews>
  <sheetFormatPr baseColWidth="10" defaultRowHeight="15" x14ac:dyDescent="0.25"/>
  <cols>
    <col min="1" max="1" width="17.5703125" customWidth="1"/>
  </cols>
  <sheetData>
    <row r="1" spans="1:13" ht="15.75" x14ac:dyDescent="0.25">
      <c r="A1" s="36" t="s">
        <v>106</v>
      </c>
    </row>
    <row r="2" spans="1:13" x14ac:dyDescent="0.25">
      <c r="A2" s="37" t="s">
        <v>107</v>
      </c>
      <c r="F2" s="3" t="s">
        <v>110</v>
      </c>
      <c r="G2" s="40">
        <f>SUMPRODUCT(L207:L223,M207:M223)/SUM(M207:M223)</f>
        <v>0.10114130995033571</v>
      </c>
    </row>
    <row r="3" spans="1:13" x14ac:dyDescent="0.25">
      <c r="A3" s="38" t="s">
        <v>108</v>
      </c>
      <c r="B3" s="39" t="s">
        <v>109</v>
      </c>
    </row>
    <row r="4" spans="1:13" x14ac:dyDescent="0.25">
      <c r="A4" s="37"/>
    </row>
    <row r="5" spans="1:13" x14ac:dyDescent="0.25">
      <c r="A5" s="21"/>
      <c r="B5" s="91" t="s">
        <v>91</v>
      </c>
      <c r="C5" s="92"/>
      <c r="D5" s="91" t="s">
        <v>92</v>
      </c>
      <c r="E5" s="92"/>
      <c r="F5" s="91" t="s">
        <v>93</v>
      </c>
      <c r="G5" s="92"/>
      <c r="H5" s="91" t="s">
        <v>94</v>
      </c>
      <c r="I5" s="92"/>
      <c r="J5" s="91" t="s">
        <v>95</v>
      </c>
      <c r="K5" s="92"/>
      <c r="L5" s="91" t="s">
        <v>96</v>
      </c>
      <c r="M5" s="93"/>
    </row>
    <row r="6" spans="1:13" ht="30" x14ac:dyDescent="0.25">
      <c r="A6" s="22" t="s">
        <v>97</v>
      </c>
      <c r="B6" s="23" t="s">
        <v>83</v>
      </c>
      <c r="C6" s="23" t="s">
        <v>98</v>
      </c>
      <c r="D6" s="23" t="s">
        <v>83</v>
      </c>
      <c r="E6" s="23" t="s">
        <v>98</v>
      </c>
      <c r="F6" s="23" t="s">
        <v>83</v>
      </c>
      <c r="G6" s="23" t="s">
        <v>98</v>
      </c>
      <c r="H6" s="23" t="s">
        <v>83</v>
      </c>
      <c r="I6" s="23" t="s">
        <v>98</v>
      </c>
      <c r="J6" s="23" t="s">
        <v>83</v>
      </c>
      <c r="K6" s="23" t="s">
        <v>98</v>
      </c>
      <c r="L6" s="23" t="s">
        <v>83</v>
      </c>
      <c r="M6" s="24" t="s">
        <v>98</v>
      </c>
    </row>
    <row r="7" spans="1:13" x14ac:dyDescent="0.25">
      <c r="A7" s="25">
        <v>37407</v>
      </c>
      <c r="B7" s="26">
        <v>0.14892464619942</v>
      </c>
      <c r="C7" s="27">
        <v>966.53804051999998</v>
      </c>
      <c r="D7" s="26">
        <v>0.167494571488048</v>
      </c>
      <c r="E7" s="27">
        <v>67.712556000000006</v>
      </c>
      <c r="F7" s="26">
        <v>0.246855339979723</v>
      </c>
      <c r="G7" s="27">
        <v>211.0251901</v>
      </c>
      <c r="H7" s="26">
        <v>0.105698175182021</v>
      </c>
      <c r="I7" s="27">
        <v>128.20665</v>
      </c>
      <c r="J7" s="26">
        <v>0.27799306165547</v>
      </c>
      <c r="K7" s="27">
        <v>1.4376340000000001</v>
      </c>
      <c r="L7" s="26">
        <v>0.16102579009228901</v>
      </c>
      <c r="M7" s="29">
        <v>1376.0383206199999</v>
      </c>
    </row>
    <row r="8" spans="1:13" x14ac:dyDescent="0.25">
      <c r="A8" s="30">
        <v>37437</v>
      </c>
      <c r="B8" s="31">
        <v>0.15682414676277401</v>
      </c>
      <c r="C8" s="32">
        <v>664.67442692999998</v>
      </c>
      <c r="D8" s="31">
        <v>0.16530016020340399</v>
      </c>
      <c r="E8" s="32">
        <v>49.589117960000003</v>
      </c>
      <c r="F8" s="31">
        <v>0.23721581293294</v>
      </c>
      <c r="G8" s="32">
        <v>174.763800941</v>
      </c>
      <c r="H8" s="31">
        <v>9.9282436354364095E-2</v>
      </c>
      <c r="I8" s="32">
        <v>152.36368100000001</v>
      </c>
      <c r="J8" s="31">
        <v>0.28126772654849502</v>
      </c>
      <c r="K8" s="32">
        <v>0.70231100000000002</v>
      </c>
      <c r="L8" s="31">
        <v>0.16246662447889201</v>
      </c>
      <c r="M8" s="34">
        <v>1043.0977378309999</v>
      </c>
    </row>
    <row r="9" spans="1:13" x14ac:dyDescent="0.25">
      <c r="A9" s="25">
        <v>37468</v>
      </c>
      <c r="B9" s="26">
        <v>0.155700904610483</v>
      </c>
      <c r="C9" s="27">
        <v>739.26914844999999</v>
      </c>
      <c r="D9" s="26">
        <v>0.160385800028778</v>
      </c>
      <c r="E9" s="27">
        <v>46.65313261</v>
      </c>
      <c r="F9" s="26">
        <v>0.24514025724129099</v>
      </c>
      <c r="G9" s="27">
        <v>215.05754965</v>
      </c>
      <c r="H9" s="26">
        <v>8.9634939472691202E-2</v>
      </c>
      <c r="I9" s="27">
        <v>141.614642</v>
      </c>
      <c r="J9" s="26">
        <v>0.28328343812968898</v>
      </c>
      <c r="K9" s="27">
        <v>0.90620199999999995</v>
      </c>
      <c r="L9" s="26">
        <v>0.16468953522945001</v>
      </c>
      <c r="M9" s="29">
        <v>1144.4719247099999</v>
      </c>
    </row>
    <row r="10" spans="1:13" x14ac:dyDescent="0.25">
      <c r="A10" s="30">
        <v>37499</v>
      </c>
      <c r="B10" s="31">
        <v>0.162151038983363</v>
      </c>
      <c r="C10" s="32">
        <v>418.36517803999999</v>
      </c>
      <c r="D10" s="31">
        <v>0.15430901129333899</v>
      </c>
      <c r="E10" s="32">
        <v>46.080711999999998</v>
      </c>
      <c r="F10" s="31">
        <v>0.22431264813091201</v>
      </c>
      <c r="G10" s="32">
        <v>183.83415690999999</v>
      </c>
      <c r="H10" s="31">
        <v>9.0491234260417205E-2</v>
      </c>
      <c r="I10" s="32">
        <v>110.92738300000001</v>
      </c>
      <c r="J10" s="31">
        <v>0.27847820018980601</v>
      </c>
      <c r="K10" s="32">
        <v>0.93147599999999997</v>
      </c>
      <c r="L10" s="31">
        <v>0.16652437976231901</v>
      </c>
      <c r="M10" s="34">
        <v>761.81229195000003</v>
      </c>
    </row>
    <row r="11" spans="1:13" x14ac:dyDescent="0.25">
      <c r="A11" s="25">
        <v>37529</v>
      </c>
      <c r="B11" s="26">
        <v>0.16300762686001199</v>
      </c>
      <c r="C11" s="27">
        <v>421.94882654999998</v>
      </c>
      <c r="D11" s="26">
        <v>0.15241575041128799</v>
      </c>
      <c r="E11" s="27">
        <v>91.685607880000006</v>
      </c>
      <c r="F11" s="26">
        <v>0.21747280068587199</v>
      </c>
      <c r="G11" s="27">
        <v>171.26908186</v>
      </c>
      <c r="H11" s="26">
        <v>9.4635709806276294E-2</v>
      </c>
      <c r="I11" s="27">
        <v>79.922335000000004</v>
      </c>
      <c r="J11" s="26">
        <v>0.279661073705602</v>
      </c>
      <c r="K11" s="27">
        <v>0.89559</v>
      </c>
      <c r="L11" s="26">
        <v>0.16703937343580399</v>
      </c>
      <c r="M11" s="29">
        <v>767.32574129</v>
      </c>
    </row>
    <row r="12" spans="1:13" x14ac:dyDescent="0.25">
      <c r="A12" s="30">
        <v>37560</v>
      </c>
      <c r="B12" s="31">
        <v>0.16341127330095301</v>
      </c>
      <c r="C12" s="32">
        <v>575.21652470000004</v>
      </c>
      <c r="D12" s="31">
        <v>0.143306040045588</v>
      </c>
      <c r="E12" s="32">
        <v>104.39249561</v>
      </c>
      <c r="F12" s="31">
        <v>0.220687891705068</v>
      </c>
      <c r="G12" s="32">
        <v>288.62802693999998</v>
      </c>
      <c r="H12" s="31">
        <v>0.1123</v>
      </c>
      <c r="I12" s="32">
        <v>13.008077</v>
      </c>
      <c r="J12" s="31">
        <v>0.280114826164579</v>
      </c>
      <c r="K12" s="32">
        <v>0.80602099999999999</v>
      </c>
      <c r="L12" s="31">
        <v>0.17757862805313601</v>
      </c>
      <c r="M12" s="34">
        <v>983.96226224999998</v>
      </c>
    </row>
    <row r="13" spans="1:13" x14ac:dyDescent="0.25">
      <c r="A13" s="25">
        <v>37590</v>
      </c>
      <c r="B13" s="26">
        <v>0.17126611041930201</v>
      </c>
      <c r="C13" s="27">
        <v>451.13477060999998</v>
      </c>
      <c r="D13" s="26">
        <v>0.13779211090521301</v>
      </c>
      <c r="E13" s="27">
        <v>121.07829747</v>
      </c>
      <c r="F13" s="26">
        <v>0.218319214883686</v>
      </c>
      <c r="G13" s="27">
        <v>203.92523542999999</v>
      </c>
      <c r="H13" s="26">
        <v>0.1118</v>
      </c>
      <c r="I13" s="27">
        <v>12.627458000000001</v>
      </c>
      <c r="J13" s="26">
        <v>0.27784941166276</v>
      </c>
      <c r="K13" s="27">
        <v>0.87704800000000005</v>
      </c>
      <c r="L13" s="26">
        <v>0.177549641050675</v>
      </c>
      <c r="M13" s="29">
        <v>790.99654651000003</v>
      </c>
    </row>
    <row r="14" spans="1:13" x14ac:dyDescent="0.25">
      <c r="A14" s="30">
        <v>37621</v>
      </c>
      <c r="B14" s="31">
        <v>0.16401506882206701</v>
      </c>
      <c r="C14" s="32">
        <v>687.38572705000001</v>
      </c>
      <c r="D14" s="31">
        <v>0.13992701314741199</v>
      </c>
      <c r="E14" s="32">
        <v>160.98354526</v>
      </c>
      <c r="F14" s="31">
        <v>0.21261106075608199</v>
      </c>
      <c r="G14" s="32">
        <v>245.49411749000001</v>
      </c>
      <c r="H14" s="31">
        <v>0.10979999999999999</v>
      </c>
      <c r="I14" s="32">
        <v>4.7538640000000001</v>
      </c>
      <c r="J14" s="31">
        <v>0.27963410608880901</v>
      </c>
      <c r="K14" s="32">
        <v>0.60277800000000004</v>
      </c>
      <c r="L14" s="31">
        <v>0.171239277686597</v>
      </c>
      <c r="M14" s="34">
        <v>1100.3654117999999</v>
      </c>
    </row>
    <row r="15" spans="1:13" x14ac:dyDescent="0.25">
      <c r="A15" s="25">
        <v>37652</v>
      </c>
      <c r="B15" s="26">
        <v>0.17859806280864901</v>
      </c>
      <c r="C15" s="27">
        <v>502.57721981999998</v>
      </c>
      <c r="D15" s="26">
        <v>0.14566972641223699</v>
      </c>
      <c r="E15" s="27">
        <v>99.243526860000003</v>
      </c>
      <c r="F15" s="26">
        <v>0.211111441800345</v>
      </c>
      <c r="G15" s="27">
        <v>213.44609384</v>
      </c>
      <c r="H15" s="28"/>
      <c r="I15" s="28"/>
      <c r="J15" s="26">
        <v>0.27910857053682903</v>
      </c>
      <c r="K15" s="27">
        <v>0.64080000000000004</v>
      </c>
      <c r="L15" s="26">
        <v>0.18316875317645701</v>
      </c>
      <c r="M15" s="29">
        <v>817.54215752000005</v>
      </c>
    </row>
    <row r="16" spans="1:13" x14ac:dyDescent="0.25">
      <c r="A16" s="30">
        <v>37680</v>
      </c>
      <c r="B16" s="31">
        <v>0.16679820830360101</v>
      </c>
      <c r="C16" s="32">
        <v>531.49336672000004</v>
      </c>
      <c r="D16" s="31">
        <v>0.14951354945430001</v>
      </c>
      <c r="E16" s="32">
        <v>58.10775924</v>
      </c>
      <c r="F16" s="31">
        <v>0.22686021390239899</v>
      </c>
      <c r="G16" s="32">
        <v>204.67029894999999</v>
      </c>
      <c r="H16" s="33"/>
      <c r="I16" s="33"/>
      <c r="J16" s="31">
        <v>0.27508424928472802</v>
      </c>
      <c r="K16" s="32">
        <v>0.79480200000000001</v>
      </c>
      <c r="L16" s="31">
        <v>0.181113047995689</v>
      </c>
      <c r="M16" s="34">
        <v>795.91902690999996</v>
      </c>
    </row>
    <row r="17" spans="1:13" x14ac:dyDescent="0.25">
      <c r="A17" s="25">
        <v>37711</v>
      </c>
      <c r="B17" s="26">
        <v>0.17121236377128299</v>
      </c>
      <c r="C17" s="27">
        <v>457.38159744000001</v>
      </c>
      <c r="D17" s="26">
        <v>0.14595178996250099</v>
      </c>
      <c r="E17" s="27">
        <v>87.779304319999994</v>
      </c>
      <c r="F17" s="26">
        <v>0.22015074918409699</v>
      </c>
      <c r="G17" s="27">
        <v>183.06414608</v>
      </c>
      <c r="H17" s="26">
        <v>0.1104</v>
      </c>
      <c r="I17" s="27">
        <v>13.995779000000001</v>
      </c>
      <c r="J17" s="26">
        <v>0.27776097238645098</v>
      </c>
      <c r="K17" s="27">
        <v>0.57508000000000004</v>
      </c>
      <c r="L17" s="26">
        <v>0.179229325536745</v>
      </c>
      <c r="M17" s="29">
        <v>743.24340684000003</v>
      </c>
    </row>
    <row r="18" spans="1:13" x14ac:dyDescent="0.25">
      <c r="A18" s="30">
        <v>37741</v>
      </c>
      <c r="B18" s="31">
        <v>0.179844032554761</v>
      </c>
      <c r="C18" s="32">
        <v>504.57894097000002</v>
      </c>
      <c r="D18" s="31">
        <v>0.142477922731121</v>
      </c>
      <c r="E18" s="32">
        <v>123.14014854</v>
      </c>
      <c r="F18" s="31">
        <v>0.22126723616792399</v>
      </c>
      <c r="G18" s="32">
        <v>242.12941008000001</v>
      </c>
      <c r="H18" s="31">
        <v>0.1096</v>
      </c>
      <c r="I18" s="32">
        <v>6.8921200000000002</v>
      </c>
      <c r="J18" s="31">
        <v>0.287239202886647</v>
      </c>
      <c r="K18" s="32">
        <v>0.88268500000000005</v>
      </c>
      <c r="L18" s="31">
        <v>0.18561675444456099</v>
      </c>
      <c r="M18" s="34">
        <v>879.27680458999998</v>
      </c>
    </row>
    <row r="19" spans="1:13" x14ac:dyDescent="0.25">
      <c r="A19" s="25">
        <v>37772</v>
      </c>
      <c r="B19" s="26">
        <v>0.17975193670658199</v>
      </c>
      <c r="C19" s="27">
        <v>472.94734641000002</v>
      </c>
      <c r="D19" s="26">
        <v>0.14958716755224999</v>
      </c>
      <c r="E19" s="27">
        <v>95.503288960000006</v>
      </c>
      <c r="F19" s="26">
        <v>0.21663998862558601</v>
      </c>
      <c r="G19" s="27">
        <v>208.00242742</v>
      </c>
      <c r="H19" s="28"/>
      <c r="I19" s="28"/>
      <c r="J19" s="26">
        <v>0.287109685915998</v>
      </c>
      <c r="K19" s="27">
        <v>0.81360399999999999</v>
      </c>
      <c r="L19" s="26">
        <v>0.18603547551559699</v>
      </c>
      <c r="M19" s="29">
        <v>778.47868179</v>
      </c>
    </row>
    <row r="20" spans="1:13" x14ac:dyDescent="0.25">
      <c r="A20" s="30">
        <v>37802</v>
      </c>
      <c r="B20" s="31">
        <v>0.17474781677464199</v>
      </c>
      <c r="C20" s="32">
        <v>624.08311526</v>
      </c>
      <c r="D20" s="31">
        <v>0.15055347139318701</v>
      </c>
      <c r="E20" s="32">
        <v>83.149791039999997</v>
      </c>
      <c r="F20" s="31">
        <v>0.209376314272915</v>
      </c>
      <c r="G20" s="32">
        <v>185.89275948</v>
      </c>
      <c r="H20" s="33"/>
      <c r="I20" s="33"/>
      <c r="J20" s="31">
        <v>0.280543400236128</v>
      </c>
      <c r="K20" s="32">
        <v>0.42349999999999999</v>
      </c>
      <c r="L20" s="31">
        <v>0.179771763533603</v>
      </c>
      <c r="M20" s="34">
        <v>894.41309778000004</v>
      </c>
    </row>
    <row r="21" spans="1:13" x14ac:dyDescent="0.25">
      <c r="A21" s="25">
        <v>37833</v>
      </c>
      <c r="B21" s="26">
        <v>0.17132205314403501</v>
      </c>
      <c r="C21" s="27">
        <v>649.15510605999998</v>
      </c>
      <c r="D21" s="26">
        <v>0.14682119988450401</v>
      </c>
      <c r="E21" s="27">
        <v>88.036976980000006</v>
      </c>
      <c r="F21" s="26">
        <v>0.21730664355479401</v>
      </c>
      <c r="G21" s="27">
        <v>240.48387398</v>
      </c>
      <c r="H21" s="26">
        <v>0.1106</v>
      </c>
      <c r="I21" s="27">
        <v>6.8319989999999997</v>
      </c>
      <c r="J21" s="26">
        <v>0.27668349353662602</v>
      </c>
      <c r="K21" s="27">
        <v>0.76028399999999996</v>
      </c>
      <c r="L21" s="26">
        <v>0.180036423936659</v>
      </c>
      <c r="M21" s="29">
        <v>985.76732702000004</v>
      </c>
    </row>
    <row r="22" spans="1:13" x14ac:dyDescent="0.25">
      <c r="A22" s="30">
        <v>37864</v>
      </c>
      <c r="B22" s="31">
        <v>0.18054976712824999</v>
      </c>
      <c r="C22" s="32">
        <v>456.10002673000002</v>
      </c>
      <c r="D22" s="31">
        <v>0.14728410659409699</v>
      </c>
      <c r="E22" s="32">
        <v>86.389301990000007</v>
      </c>
      <c r="F22" s="31">
        <v>0.20768842516800101</v>
      </c>
      <c r="G22" s="32">
        <v>198.79545712999999</v>
      </c>
      <c r="H22" s="31">
        <v>0.1111</v>
      </c>
      <c r="I22" s="32">
        <v>13.494241000000001</v>
      </c>
      <c r="J22" s="31">
        <v>0.269141411370732</v>
      </c>
      <c r="K22" s="32">
        <v>0.57313000000000003</v>
      </c>
      <c r="L22" s="31">
        <v>0.18273054715793099</v>
      </c>
      <c r="M22" s="34">
        <v>755.83005685000001</v>
      </c>
    </row>
    <row r="23" spans="1:13" x14ac:dyDescent="0.25">
      <c r="A23" s="25">
        <v>37894</v>
      </c>
      <c r="B23" s="26">
        <v>0.177789468821238</v>
      </c>
      <c r="C23" s="27">
        <v>542.00275741999997</v>
      </c>
      <c r="D23" s="26">
        <v>0.1491041077278</v>
      </c>
      <c r="E23" s="27">
        <v>73.936801059999993</v>
      </c>
      <c r="F23" s="26">
        <v>0.21242376944199701</v>
      </c>
      <c r="G23" s="27">
        <v>208.21638067999999</v>
      </c>
      <c r="H23" s="26">
        <v>0.122346284327932</v>
      </c>
      <c r="I23" s="27">
        <v>53.618980999999998</v>
      </c>
      <c r="J23" s="26">
        <v>0.26526952767385897</v>
      </c>
      <c r="K23" s="27">
        <v>0.44238499999999997</v>
      </c>
      <c r="L23" s="26">
        <v>0.180249515464911</v>
      </c>
      <c r="M23" s="29">
        <v>878.41230515999996</v>
      </c>
    </row>
    <row r="24" spans="1:13" x14ac:dyDescent="0.25">
      <c r="A24" s="30">
        <v>37925</v>
      </c>
      <c r="B24" s="31">
        <v>0.168820480066565</v>
      </c>
      <c r="C24" s="32">
        <v>771.40069100999995</v>
      </c>
      <c r="D24" s="31">
        <v>0.14746155260931801</v>
      </c>
      <c r="E24" s="32">
        <v>142.26635615999999</v>
      </c>
      <c r="F24" s="31">
        <v>0.217973784399737</v>
      </c>
      <c r="G24" s="32">
        <v>324.84885001999999</v>
      </c>
      <c r="H24" s="31">
        <v>0.1109</v>
      </c>
      <c r="I24" s="32">
        <v>12.376332</v>
      </c>
      <c r="J24" s="31">
        <v>0.25494122523497798</v>
      </c>
      <c r="K24" s="32">
        <v>0.71315300000000004</v>
      </c>
      <c r="L24" s="31">
        <v>0.17863246073464401</v>
      </c>
      <c r="M24" s="34">
        <v>1251.8115821900001</v>
      </c>
    </row>
    <row r="25" spans="1:13" x14ac:dyDescent="0.25">
      <c r="A25" s="25">
        <v>37955</v>
      </c>
      <c r="B25" s="26">
        <v>0.17470137213658399</v>
      </c>
      <c r="C25" s="27">
        <v>574.46560511999996</v>
      </c>
      <c r="D25" s="26">
        <v>0.14987926082036099</v>
      </c>
      <c r="E25" s="27">
        <v>108.83839165000001</v>
      </c>
      <c r="F25" s="26">
        <v>0.218111517488491</v>
      </c>
      <c r="G25" s="27">
        <v>250.73116196999999</v>
      </c>
      <c r="H25" s="26">
        <v>0.112</v>
      </c>
      <c r="I25" s="27">
        <v>13.394643</v>
      </c>
      <c r="J25" s="26">
        <v>0.22258142177827001</v>
      </c>
      <c r="K25" s="27">
        <v>1.069984</v>
      </c>
      <c r="L25" s="26">
        <v>0.18249765124429501</v>
      </c>
      <c r="M25" s="29">
        <v>948.56078574000003</v>
      </c>
    </row>
    <row r="26" spans="1:13" x14ac:dyDescent="0.25">
      <c r="A26" s="30">
        <v>37986</v>
      </c>
      <c r="B26" s="31">
        <v>0.16200096652330301</v>
      </c>
      <c r="C26" s="32">
        <v>1152.9134630399999</v>
      </c>
      <c r="D26" s="31">
        <v>0.146982042942116</v>
      </c>
      <c r="E26" s="32">
        <v>210.14061791</v>
      </c>
      <c r="F26" s="31">
        <v>0.20161832589251799</v>
      </c>
      <c r="G26" s="32">
        <v>341.96174822</v>
      </c>
      <c r="H26" s="31">
        <v>0.11119999999999999</v>
      </c>
      <c r="I26" s="32">
        <v>12.266382</v>
      </c>
      <c r="J26" s="31">
        <v>0.247984474596219</v>
      </c>
      <c r="K26" s="32">
        <v>0.41464299999999998</v>
      </c>
      <c r="L26" s="31">
        <v>0.167715189888135</v>
      </c>
      <c r="M26" s="34">
        <v>1717.8563941699999</v>
      </c>
    </row>
    <row r="27" spans="1:13" x14ac:dyDescent="0.25">
      <c r="A27" s="25">
        <v>38017</v>
      </c>
      <c r="B27" s="26">
        <v>0.176093007434521</v>
      </c>
      <c r="C27" s="27">
        <v>442.93965218</v>
      </c>
      <c r="D27" s="26">
        <v>0.14893197264571301</v>
      </c>
      <c r="E27" s="27">
        <v>105.48238986</v>
      </c>
      <c r="F27" s="26">
        <v>0.20004434046369801</v>
      </c>
      <c r="G27" s="27">
        <v>241.85466306999999</v>
      </c>
      <c r="H27" s="28"/>
      <c r="I27" s="28"/>
      <c r="J27" s="26">
        <v>0.25918129162273601</v>
      </c>
      <c r="K27" s="27">
        <v>0.37464500000000001</v>
      </c>
      <c r="L27" s="26">
        <v>0.17984786123694901</v>
      </c>
      <c r="M27" s="29">
        <v>790.88735011000006</v>
      </c>
    </row>
    <row r="28" spans="1:13" x14ac:dyDescent="0.25">
      <c r="A28" s="30">
        <v>38046</v>
      </c>
      <c r="B28" s="31">
        <v>0.16466229586793901</v>
      </c>
      <c r="C28" s="32">
        <v>726.41817777000006</v>
      </c>
      <c r="D28" s="31">
        <v>0.149730194600217</v>
      </c>
      <c r="E28" s="32">
        <v>88.029443810000004</v>
      </c>
      <c r="F28" s="31">
        <v>0.202657845919504</v>
      </c>
      <c r="G28" s="32">
        <v>273.20448092999999</v>
      </c>
      <c r="H28" s="33"/>
      <c r="I28" s="33"/>
      <c r="J28" s="31">
        <v>0.25615648447450701</v>
      </c>
      <c r="K28" s="32">
        <v>0.41602652000000001</v>
      </c>
      <c r="L28" s="31">
        <v>0.17304563867224801</v>
      </c>
      <c r="M28" s="34">
        <v>1088.80862903</v>
      </c>
    </row>
    <row r="29" spans="1:13" x14ac:dyDescent="0.25">
      <c r="A29" s="25">
        <v>38077</v>
      </c>
      <c r="B29" s="26">
        <v>0.17079946978900901</v>
      </c>
      <c r="C29" s="27">
        <v>825.39755289000004</v>
      </c>
      <c r="D29" s="26">
        <v>0.14625924837080001</v>
      </c>
      <c r="E29" s="27">
        <v>155.80095752</v>
      </c>
      <c r="F29" s="26">
        <v>0.19934358516895401</v>
      </c>
      <c r="G29" s="27">
        <v>305.81021672999998</v>
      </c>
      <c r="H29" s="28"/>
      <c r="I29" s="28"/>
      <c r="J29" s="26">
        <v>0.27759456264648102</v>
      </c>
      <c r="K29" s="27">
        <v>0.78228059999999999</v>
      </c>
      <c r="L29" s="26">
        <v>0.174674958762122</v>
      </c>
      <c r="M29" s="29">
        <v>1287.90850774</v>
      </c>
    </row>
    <row r="30" spans="1:13" x14ac:dyDescent="0.25">
      <c r="A30" s="30">
        <v>38107</v>
      </c>
      <c r="B30" s="31">
        <v>0.17434420458412</v>
      </c>
      <c r="C30" s="32">
        <v>580.96047117000001</v>
      </c>
      <c r="D30" s="31">
        <v>0.14641703090560201</v>
      </c>
      <c r="E30" s="32">
        <v>123.12944679</v>
      </c>
      <c r="F30" s="31">
        <v>0.19880831380675701</v>
      </c>
      <c r="G30" s="32">
        <v>265.21596449999998</v>
      </c>
      <c r="H30" s="31">
        <v>0.111</v>
      </c>
      <c r="I30" s="32">
        <v>8.367286</v>
      </c>
      <c r="J30" s="31">
        <v>0.25692977472461198</v>
      </c>
      <c r="K30" s="32">
        <v>0.49009820999999998</v>
      </c>
      <c r="L30" s="31">
        <v>0.17696563762449499</v>
      </c>
      <c r="M30" s="34">
        <v>978.28226667000001</v>
      </c>
    </row>
    <row r="31" spans="1:13" x14ac:dyDescent="0.25">
      <c r="A31" s="25">
        <v>38138</v>
      </c>
      <c r="B31" s="26">
        <v>0.17214799130852801</v>
      </c>
      <c r="C31" s="27">
        <v>668.73004954999999</v>
      </c>
      <c r="D31" s="26">
        <v>0.14364173466145899</v>
      </c>
      <c r="E31" s="27">
        <v>93.645639239999994</v>
      </c>
      <c r="F31" s="26">
        <v>0.194565156076806</v>
      </c>
      <c r="G31" s="27">
        <v>255.59158056000001</v>
      </c>
      <c r="H31" s="26">
        <v>0.11</v>
      </c>
      <c r="I31" s="27">
        <v>8.6609440000000006</v>
      </c>
      <c r="J31" s="26">
        <v>0.25602278584332999</v>
      </c>
      <c r="K31" s="27">
        <v>0.42842400000000003</v>
      </c>
      <c r="L31" s="26">
        <v>0.17464525989139701</v>
      </c>
      <c r="M31" s="29">
        <v>1027.3465373500001</v>
      </c>
    </row>
    <row r="32" spans="1:13" x14ac:dyDescent="0.25">
      <c r="A32" s="30">
        <v>38168</v>
      </c>
      <c r="B32" s="31">
        <v>0.17278036754308701</v>
      </c>
      <c r="C32" s="32">
        <v>905.63964291000002</v>
      </c>
      <c r="D32" s="31">
        <v>0.146562286580245</v>
      </c>
      <c r="E32" s="32">
        <v>119.27238729</v>
      </c>
      <c r="F32" s="31">
        <v>0.196324802709572</v>
      </c>
      <c r="G32" s="32">
        <v>379.66119541</v>
      </c>
      <c r="H32" s="31">
        <v>0.1115</v>
      </c>
      <c r="I32" s="32">
        <v>8.3269300000000008</v>
      </c>
      <c r="J32" s="31">
        <v>0.25921119685299598</v>
      </c>
      <c r="K32" s="32">
        <v>0.93741545000000004</v>
      </c>
      <c r="L32" s="31">
        <v>0.17660865215676899</v>
      </c>
      <c r="M32" s="34">
        <v>1414.3444710599999</v>
      </c>
    </row>
    <row r="33" spans="1:13" x14ac:dyDescent="0.25">
      <c r="A33" s="25">
        <v>38199</v>
      </c>
      <c r="B33" s="26">
        <v>0.16794664420562599</v>
      </c>
      <c r="C33" s="27">
        <v>661.98179685000002</v>
      </c>
      <c r="D33" s="26">
        <v>0.14613836858318</v>
      </c>
      <c r="E33" s="27">
        <v>97.994518189999994</v>
      </c>
      <c r="F33" s="26">
        <v>0.19266979369103801</v>
      </c>
      <c r="G33" s="27">
        <v>280.26765726000002</v>
      </c>
      <c r="H33" s="26">
        <v>0.1103</v>
      </c>
      <c r="I33" s="27">
        <v>8.0554400000000008</v>
      </c>
      <c r="J33" s="26">
        <v>0.247877886867998</v>
      </c>
      <c r="K33" s="27">
        <v>0.44958799999999999</v>
      </c>
      <c r="L33" s="26">
        <v>0.17212398686651001</v>
      </c>
      <c r="M33" s="29">
        <v>1049.1970002999999</v>
      </c>
    </row>
    <row r="34" spans="1:13" x14ac:dyDescent="0.25">
      <c r="A34" s="30">
        <v>38230</v>
      </c>
      <c r="B34" s="31">
        <v>0.16908680426629399</v>
      </c>
      <c r="C34" s="32">
        <v>683.08698442000002</v>
      </c>
      <c r="D34" s="31">
        <v>0.142805556191166</v>
      </c>
      <c r="E34" s="32">
        <v>69.045513929999998</v>
      </c>
      <c r="F34" s="31">
        <v>0.192080250716022</v>
      </c>
      <c r="G34" s="32">
        <v>300.68978391000002</v>
      </c>
      <c r="H34" s="31">
        <v>0.11020000000000001</v>
      </c>
      <c r="I34" s="32">
        <v>8.4569019999999995</v>
      </c>
      <c r="J34" s="31">
        <v>0.24714138638549099</v>
      </c>
      <c r="K34" s="32">
        <v>0.70309701999999996</v>
      </c>
      <c r="L34" s="31">
        <v>0.17347616152272599</v>
      </c>
      <c r="M34" s="34">
        <v>1062.0714812799999</v>
      </c>
    </row>
    <row r="35" spans="1:13" x14ac:dyDescent="0.25">
      <c r="A35" s="25">
        <v>38260</v>
      </c>
      <c r="B35" s="26">
        <v>0.17492718389139</v>
      </c>
      <c r="C35" s="27">
        <v>916.52799126000002</v>
      </c>
      <c r="D35" s="26">
        <v>0.14128454417366801</v>
      </c>
      <c r="E35" s="27">
        <v>128.79063112</v>
      </c>
      <c r="F35" s="26">
        <v>0.19520217203168699</v>
      </c>
      <c r="G35" s="27">
        <v>411.62181411</v>
      </c>
      <c r="H35" s="26">
        <v>0.1096</v>
      </c>
      <c r="I35" s="27">
        <v>7.5292029999999999</v>
      </c>
      <c r="J35" s="26">
        <v>0.24119909813124599</v>
      </c>
      <c r="K35" s="27">
        <v>0.63455914999999996</v>
      </c>
      <c r="L35" s="26">
        <v>0.17741194080294301</v>
      </c>
      <c r="M35" s="29">
        <v>1466.2558986399999</v>
      </c>
    </row>
    <row r="36" spans="1:13" x14ac:dyDescent="0.25">
      <c r="A36" s="30">
        <v>38291</v>
      </c>
      <c r="B36" s="31">
        <v>0.17156950877781599</v>
      </c>
      <c r="C36" s="32">
        <v>768.11040529000002</v>
      </c>
      <c r="D36" s="31">
        <v>0.14073861663319701</v>
      </c>
      <c r="E36" s="32">
        <v>94.519432420000001</v>
      </c>
      <c r="F36" s="31">
        <v>0.19814651104653</v>
      </c>
      <c r="G36" s="32">
        <v>305.79933941000002</v>
      </c>
      <c r="H36" s="31">
        <v>0.1094</v>
      </c>
      <c r="I36" s="32">
        <v>6.5403039999999999</v>
      </c>
      <c r="J36" s="31">
        <v>0.221443557144472</v>
      </c>
      <c r="K36" s="32">
        <v>0.48007329999999998</v>
      </c>
      <c r="L36" s="31">
        <v>0.17570108732595</v>
      </c>
      <c r="M36" s="34">
        <v>1175.91655442</v>
      </c>
    </row>
    <row r="37" spans="1:13" x14ac:dyDescent="0.25">
      <c r="A37" s="25">
        <v>38321</v>
      </c>
      <c r="B37" s="26">
        <v>0.163577678681669</v>
      </c>
      <c r="C37" s="27">
        <v>869.91718593999997</v>
      </c>
      <c r="D37" s="26">
        <v>0.14118785329223599</v>
      </c>
      <c r="E37" s="27">
        <v>93.506802359999995</v>
      </c>
      <c r="F37" s="26">
        <v>0.19941411288993699</v>
      </c>
      <c r="G37" s="27">
        <v>285.39901813</v>
      </c>
      <c r="H37" s="26">
        <v>0.10920000000000001</v>
      </c>
      <c r="I37" s="27">
        <v>7.5100480000000003</v>
      </c>
      <c r="J37" s="26">
        <v>0.24043305340669899</v>
      </c>
      <c r="K37" s="27">
        <v>0.49285045</v>
      </c>
      <c r="L37" s="26">
        <v>0.169791714977931</v>
      </c>
      <c r="M37" s="29">
        <v>1257.6474548799999</v>
      </c>
    </row>
    <row r="38" spans="1:13" x14ac:dyDescent="0.25">
      <c r="A38" s="30">
        <v>38352</v>
      </c>
      <c r="B38" s="31">
        <v>0.16172264898994701</v>
      </c>
      <c r="C38" s="32">
        <v>1664.2758988600001</v>
      </c>
      <c r="D38" s="31">
        <v>0.14213721890407099</v>
      </c>
      <c r="E38" s="32">
        <v>225.73560721000001</v>
      </c>
      <c r="F38" s="31">
        <v>0.19447497816877901</v>
      </c>
      <c r="G38" s="32">
        <v>485.97965359</v>
      </c>
      <c r="H38" s="31">
        <v>0.10979999999999999</v>
      </c>
      <c r="I38" s="32">
        <v>7.4900570000000002</v>
      </c>
      <c r="J38" s="31">
        <v>0.22121727391082299</v>
      </c>
      <c r="K38" s="32">
        <v>0.63528541999999999</v>
      </c>
      <c r="L38" s="31">
        <v>0.166431958906258</v>
      </c>
      <c r="M38" s="34">
        <v>2385.5488020799999</v>
      </c>
    </row>
    <row r="39" spans="1:13" x14ac:dyDescent="0.25">
      <c r="A39" s="25">
        <v>38383</v>
      </c>
      <c r="B39" s="26">
        <v>0.16724273984066501</v>
      </c>
      <c r="C39" s="27">
        <v>569.69478976000005</v>
      </c>
      <c r="D39" s="26">
        <v>0.14337164421066301</v>
      </c>
      <c r="E39" s="27">
        <v>54.685629779999999</v>
      </c>
      <c r="F39" s="26">
        <v>0.18795625732306101</v>
      </c>
      <c r="G39" s="27">
        <v>188.21985720999999</v>
      </c>
      <c r="H39" s="28"/>
      <c r="I39" s="28"/>
      <c r="J39" s="26">
        <v>0.26900204669793298</v>
      </c>
      <c r="K39" s="27">
        <v>0.35608600000000001</v>
      </c>
      <c r="L39" s="26">
        <v>0.170545533354583</v>
      </c>
      <c r="M39" s="29">
        <v>813.77256275000002</v>
      </c>
    </row>
    <row r="40" spans="1:13" x14ac:dyDescent="0.25">
      <c r="A40" s="30">
        <v>38411</v>
      </c>
      <c r="B40" s="31">
        <v>0.15909928839552301</v>
      </c>
      <c r="C40" s="32">
        <v>844.98864621999996</v>
      </c>
      <c r="D40" s="31">
        <v>0.14237819636872101</v>
      </c>
      <c r="E40" s="32">
        <v>85.638993189999994</v>
      </c>
      <c r="F40" s="31">
        <v>0.19413353001582401</v>
      </c>
      <c r="G40" s="32">
        <v>300.99187723</v>
      </c>
      <c r="H40" s="33"/>
      <c r="I40" s="33"/>
      <c r="J40" s="31">
        <v>0.22937215113783599</v>
      </c>
      <c r="K40" s="32">
        <v>1.2547521699999999</v>
      </c>
      <c r="L40" s="31">
        <v>0.16661137219925801</v>
      </c>
      <c r="M40" s="34">
        <v>1233.7268188099999</v>
      </c>
    </row>
    <row r="41" spans="1:13" x14ac:dyDescent="0.25">
      <c r="A41" s="25">
        <v>38442</v>
      </c>
      <c r="B41" s="26">
        <v>0.16071937164553601</v>
      </c>
      <c r="C41" s="27">
        <v>1047.95672737</v>
      </c>
      <c r="D41" s="26">
        <v>0.13700604299595201</v>
      </c>
      <c r="E41" s="27">
        <v>140.97512269999999</v>
      </c>
      <c r="F41" s="26">
        <v>0.19811293098822699</v>
      </c>
      <c r="G41" s="27">
        <v>426.06215500000002</v>
      </c>
      <c r="H41" s="26">
        <v>0.1067</v>
      </c>
      <c r="I41" s="27">
        <v>8.387124</v>
      </c>
      <c r="J41" s="26">
        <v>0.217384861600531</v>
      </c>
      <c r="K41" s="27">
        <v>0.99627500000000002</v>
      </c>
      <c r="L41" s="26">
        <v>0.16824939325573701</v>
      </c>
      <c r="M41" s="29">
        <v>1625.37010407</v>
      </c>
    </row>
    <row r="42" spans="1:13" x14ac:dyDescent="0.25">
      <c r="A42" s="30">
        <v>38472</v>
      </c>
      <c r="B42" s="31">
        <v>0.16663766975921601</v>
      </c>
      <c r="C42" s="32">
        <v>742.51434759999995</v>
      </c>
      <c r="D42" s="31">
        <v>0.13301511278636499</v>
      </c>
      <c r="E42" s="32">
        <v>105.83177116</v>
      </c>
      <c r="F42" s="31">
        <v>0.20083501055455499</v>
      </c>
      <c r="G42" s="32">
        <v>344.16385738000002</v>
      </c>
      <c r="H42" s="31">
        <v>0.10489999999999999</v>
      </c>
      <c r="I42" s="32">
        <v>7.9324000000000003</v>
      </c>
      <c r="J42" s="31">
        <v>0.23615585679804699</v>
      </c>
      <c r="K42" s="32">
        <v>0.42512105</v>
      </c>
      <c r="L42" s="31">
        <v>0.173181002316704</v>
      </c>
      <c r="M42" s="34">
        <v>1202.62579719</v>
      </c>
    </row>
    <row r="43" spans="1:13" x14ac:dyDescent="0.25">
      <c r="A43" s="25">
        <v>38503</v>
      </c>
      <c r="B43" s="26">
        <v>0.164529519413667</v>
      </c>
      <c r="C43" s="27">
        <v>737.62648301000002</v>
      </c>
      <c r="D43" s="26">
        <v>0.13454782199884999</v>
      </c>
      <c r="E43" s="27">
        <v>99.332861730000005</v>
      </c>
      <c r="F43" s="26">
        <v>0.20155367800936899</v>
      </c>
      <c r="G43" s="27">
        <v>315.08624874999998</v>
      </c>
      <c r="H43" s="26">
        <v>0.104</v>
      </c>
      <c r="I43" s="27">
        <v>9.029992</v>
      </c>
      <c r="J43" s="26">
        <v>0.24675819027526799</v>
      </c>
      <c r="K43" s="27">
        <v>0.903945</v>
      </c>
      <c r="L43" s="26">
        <v>0.17164330764211899</v>
      </c>
      <c r="M43" s="29">
        <v>1164.0545304899999</v>
      </c>
    </row>
    <row r="44" spans="1:13" x14ac:dyDescent="0.25">
      <c r="A44" s="30">
        <v>38533</v>
      </c>
      <c r="B44" s="31">
        <v>0.15825746376055699</v>
      </c>
      <c r="C44" s="32">
        <v>1207.5054270200001</v>
      </c>
      <c r="D44" s="31">
        <v>0.133749259797453</v>
      </c>
      <c r="E44" s="32">
        <v>131.67861116</v>
      </c>
      <c r="F44" s="31">
        <v>0.19806715214473999</v>
      </c>
      <c r="G44" s="32">
        <v>461.61932782999997</v>
      </c>
      <c r="H44" s="31">
        <v>0.1043</v>
      </c>
      <c r="I44" s="32">
        <v>8.6876189999999998</v>
      </c>
      <c r="J44" s="31">
        <v>0.22181268792374001</v>
      </c>
      <c r="K44" s="32">
        <v>0.70421811000000001</v>
      </c>
      <c r="L44" s="31">
        <v>0.166454613384692</v>
      </c>
      <c r="M44" s="34">
        <v>1812.6318361199999</v>
      </c>
    </row>
    <row r="45" spans="1:13" x14ac:dyDescent="0.25">
      <c r="A45" s="25">
        <v>38564</v>
      </c>
      <c r="B45" s="26">
        <v>0.16439027338283599</v>
      </c>
      <c r="C45" s="27">
        <v>765.46155949000001</v>
      </c>
      <c r="D45" s="26">
        <v>0.123665225342419</v>
      </c>
      <c r="E45" s="27">
        <v>118.00230353000001</v>
      </c>
      <c r="F45" s="26">
        <v>0.198261939976031</v>
      </c>
      <c r="G45" s="27">
        <v>305.49040693000001</v>
      </c>
      <c r="H45" s="26">
        <v>0.1026</v>
      </c>
      <c r="I45" s="27">
        <v>8.6954840000000004</v>
      </c>
      <c r="J45" s="26">
        <v>0.18475496469181299</v>
      </c>
      <c r="K45" s="27">
        <v>0.84573149000000003</v>
      </c>
      <c r="L45" s="26">
        <v>0.16862634611076799</v>
      </c>
      <c r="M45" s="29">
        <v>1199.9362854399999</v>
      </c>
    </row>
    <row r="46" spans="1:13" x14ac:dyDescent="0.25">
      <c r="A46" s="30">
        <v>38595</v>
      </c>
      <c r="B46" s="31">
        <v>0.161719796461643</v>
      </c>
      <c r="C46" s="32">
        <v>1073.79650079</v>
      </c>
      <c r="D46" s="31">
        <v>0.122616378034742</v>
      </c>
      <c r="E46" s="32">
        <v>113.06341748</v>
      </c>
      <c r="F46" s="31">
        <v>0.20224250097219301</v>
      </c>
      <c r="G46" s="32">
        <v>461.57353009000002</v>
      </c>
      <c r="H46" s="31">
        <v>0.10199999999999999</v>
      </c>
      <c r="I46" s="32">
        <v>7.9861069999999996</v>
      </c>
      <c r="J46" s="31">
        <v>0.22977653106290999</v>
      </c>
      <c r="K46" s="32">
        <v>0.96766394</v>
      </c>
      <c r="L46" s="31">
        <v>0.17058063295751</v>
      </c>
      <c r="M46" s="34">
        <v>1700.8537513000001</v>
      </c>
    </row>
    <row r="47" spans="1:13" x14ac:dyDescent="0.25">
      <c r="A47" s="25">
        <v>38625</v>
      </c>
      <c r="B47" s="26">
        <v>0.16077768758533201</v>
      </c>
      <c r="C47" s="27">
        <v>831.95331871999997</v>
      </c>
      <c r="D47" s="26">
        <v>0.118007113572169</v>
      </c>
      <c r="E47" s="27">
        <v>112.30229898</v>
      </c>
      <c r="F47" s="26">
        <v>0.19690927506266701</v>
      </c>
      <c r="G47" s="27">
        <v>366.96858173999999</v>
      </c>
      <c r="H47" s="26">
        <v>0.1009</v>
      </c>
      <c r="I47" s="27">
        <v>7.7195039999999997</v>
      </c>
      <c r="J47" s="26">
        <v>0.20399995018926201</v>
      </c>
      <c r="K47" s="27">
        <v>1.0553436599999999</v>
      </c>
      <c r="L47" s="26">
        <v>0.166868140299687</v>
      </c>
      <c r="M47" s="29">
        <v>1320.0027391000001</v>
      </c>
    </row>
    <row r="48" spans="1:13" x14ac:dyDescent="0.25">
      <c r="A48" s="30">
        <v>38656</v>
      </c>
      <c r="B48" s="31">
        <v>0.16085632874692199</v>
      </c>
      <c r="C48" s="32">
        <v>737.08368456999995</v>
      </c>
      <c r="D48" s="31">
        <v>0.11986177863356701</v>
      </c>
      <c r="E48" s="32">
        <v>110.13073189000001</v>
      </c>
      <c r="F48" s="31">
        <v>0.188550194468218</v>
      </c>
      <c r="G48" s="32">
        <v>386.49340281999997</v>
      </c>
      <c r="H48" s="33"/>
      <c r="I48" s="33"/>
      <c r="J48" s="31">
        <v>0.19864014449019601</v>
      </c>
      <c r="K48" s="32">
        <v>0.46095820999999998</v>
      </c>
      <c r="L48" s="31">
        <v>0.16585678781302099</v>
      </c>
      <c r="M48" s="34">
        <v>1236.15484249</v>
      </c>
    </row>
    <row r="49" spans="1:13" x14ac:dyDescent="0.25">
      <c r="A49" s="25">
        <v>38686</v>
      </c>
      <c r="B49" s="26">
        <v>0.15654604723067</v>
      </c>
      <c r="C49" s="27">
        <v>1088.2488482000001</v>
      </c>
      <c r="D49" s="26">
        <v>0.11636797630961</v>
      </c>
      <c r="E49" s="27">
        <v>121.94280497</v>
      </c>
      <c r="F49" s="26">
        <v>0.191351135764533</v>
      </c>
      <c r="G49" s="27">
        <v>478.34622941999999</v>
      </c>
      <c r="H49" s="28"/>
      <c r="I49" s="28"/>
      <c r="J49" s="26">
        <v>0.21487266557510601</v>
      </c>
      <c r="K49" s="27">
        <v>0.64633655999999995</v>
      </c>
      <c r="L49" s="26">
        <v>0.163527312660458</v>
      </c>
      <c r="M49" s="29">
        <v>1691.6781121500001</v>
      </c>
    </row>
    <row r="50" spans="1:13" x14ac:dyDescent="0.25">
      <c r="A50" s="30">
        <v>38717</v>
      </c>
      <c r="B50" s="31">
        <v>0.15034571041485001</v>
      </c>
      <c r="C50" s="32">
        <v>1113.7000282199999</v>
      </c>
      <c r="D50" s="31">
        <v>0.11757649507292101</v>
      </c>
      <c r="E50" s="32">
        <v>139.22468413000001</v>
      </c>
      <c r="F50" s="31">
        <v>0.176142915840688</v>
      </c>
      <c r="G50" s="32">
        <v>532.72919327</v>
      </c>
      <c r="H50" s="33"/>
      <c r="I50" s="33"/>
      <c r="J50" s="31">
        <v>0.183611710833396</v>
      </c>
      <c r="K50" s="32">
        <v>0.92349924999999999</v>
      </c>
      <c r="L50" s="31">
        <v>0.155511990421934</v>
      </c>
      <c r="M50" s="34">
        <v>1788.8586088699999</v>
      </c>
    </row>
    <row r="51" spans="1:13" x14ac:dyDescent="0.25">
      <c r="A51" s="25">
        <v>38748</v>
      </c>
      <c r="B51" s="26">
        <v>0.15646753987812001</v>
      </c>
      <c r="C51" s="27">
        <v>575.49837044000003</v>
      </c>
      <c r="D51" s="26">
        <v>0.110930107093011</v>
      </c>
      <c r="E51" s="27">
        <v>62.387333320000003</v>
      </c>
      <c r="F51" s="26">
        <v>0.19135880040849301</v>
      </c>
      <c r="G51" s="27">
        <v>249.59251180000001</v>
      </c>
      <c r="H51" s="28"/>
      <c r="I51" s="28"/>
      <c r="J51" s="26">
        <v>0.19390957850377799</v>
      </c>
      <c r="K51" s="27">
        <v>0.59251587999999999</v>
      </c>
      <c r="L51" s="26">
        <v>0.163138767164693</v>
      </c>
      <c r="M51" s="29">
        <v>889.33561243999998</v>
      </c>
    </row>
    <row r="52" spans="1:13" x14ac:dyDescent="0.25">
      <c r="A52" s="30">
        <v>38776</v>
      </c>
      <c r="B52" s="31">
        <v>0.14380556884571799</v>
      </c>
      <c r="C52" s="32">
        <v>1033.1160472399999</v>
      </c>
      <c r="D52" s="31">
        <v>0.112863724162624</v>
      </c>
      <c r="E52" s="32">
        <v>64.437713119999998</v>
      </c>
      <c r="F52" s="31">
        <v>0.182253527187308</v>
      </c>
      <c r="G52" s="32">
        <v>388.02524693999999</v>
      </c>
      <c r="H52" s="33"/>
      <c r="I52" s="33"/>
      <c r="J52" s="31">
        <v>0.20053184467113</v>
      </c>
      <c r="K52" s="32">
        <v>0.82012218000000003</v>
      </c>
      <c r="L52" s="31">
        <v>0.15255650042996</v>
      </c>
      <c r="M52" s="34">
        <v>1488.3618294800001</v>
      </c>
    </row>
    <row r="53" spans="1:13" x14ac:dyDescent="0.25">
      <c r="A53" s="25">
        <v>38807</v>
      </c>
      <c r="B53" s="26">
        <v>0.14924327417179001</v>
      </c>
      <c r="C53" s="27">
        <v>1077.44275156</v>
      </c>
      <c r="D53" s="26">
        <v>0.106748054872843</v>
      </c>
      <c r="E53" s="27">
        <v>130.24927400000001</v>
      </c>
      <c r="F53" s="26">
        <v>0.185437421873373</v>
      </c>
      <c r="G53" s="27">
        <v>480.91170319999998</v>
      </c>
      <c r="H53" s="28"/>
      <c r="I53" s="28"/>
      <c r="J53" s="26">
        <v>0.19169903714212699</v>
      </c>
      <c r="K53" s="27">
        <v>0.89562047</v>
      </c>
      <c r="L53" s="26">
        <v>0.156328680982357</v>
      </c>
      <c r="M53" s="29">
        <v>1692.17804523</v>
      </c>
    </row>
    <row r="54" spans="1:13" x14ac:dyDescent="0.25">
      <c r="A54" s="30">
        <v>38837</v>
      </c>
      <c r="B54" s="31">
        <v>0.14694045793184901</v>
      </c>
      <c r="C54" s="32">
        <v>801.42860958999995</v>
      </c>
      <c r="D54" s="31">
        <v>0.107255330501107</v>
      </c>
      <c r="E54" s="32">
        <v>81.036142999999996</v>
      </c>
      <c r="F54" s="31">
        <v>0.18234830512237099</v>
      </c>
      <c r="G54" s="32">
        <v>317.05758538999999</v>
      </c>
      <c r="H54" s="33"/>
      <c r="I54" s="33"/>
      <c r="J54" s="31">
        <v>0.17942057906061001</v>
      </c>
      <c r="K54" s="32">
        <v>0.71121506000000001</v>
      </c>
      <c r="L54" s="31">
        <v>0.153647696392262</v>
      </c>
      <c r="M54" s="34">
        <v>1203.36033004</v>
      </c>
    </row>
    <row r="55" spans="1:13" x14ac:dyDescent="0.25">
      <c r="A55" s="25">
        <v>38868</v>
      </c>
      <c r="B55" s="26">
        <v>0.14521274643673401</v>
      </c>
      <c r="C55" s="27">
        <v>1169.1407799399999</v>
      </c>
      <c r="D55" s="26">
        <v>0.105767692289849</v>
      </c>
      <c r="E55" s="27">
        <v>169.941914</v>
      </c>
      <c r="F55" s="26">
        <v>0.18731841729887699</v>
      </c>
      <c r="G55" s="27">
        <v>488.59111301000002</v>
      </c>
      <c r="H55" s="26">
        <v>0.115</v>
      </c>
      <c r="I55" s="27">
        <v>153</v>
      </c>
      <c r="J55" s="26">
        <v>0.18582102153345301</v>
      </c>
      <c r="K55" s="27">
        <v>0.67819861999999997</v>
      </c>
      <c r="L55" s="26">
        <v>0.14991354817858299</v>
      </c>
      <c r="M55" s="29">
        <v>1984.21231057</v>
      </c>
    </row>
    <row r="56" spans="1:13" x14ac:dyDescent="0.25">
      <c r="A56" s="30">
        <v>38898</v>
      </c>
      <c r="B56" s="31">
        <v>0.13405264191288899</v>
      </c>
      <c r="C56" s="32">
        <v>1509.16266673</v>
      </c>
      <c r="D56" s="33"/>
      <c r="E56" s="33"/>
      <c r="F56" s="31">
        <v>0.180660220641394</v>
      </c>
      <c r="G56" s="32">
        <v>444.34621246</v>
      </c>
      <c r="H56" s="33"/>
      <c r="I56" s="33"/>
      <c r="J56" s="31">
        <v>0.18857347021501999</v>
      </c>
      <c r="K56" s="32">
        <v>0.30886272999999997</v>
      </c>
      <c r="L56" s="31">
        <v>0.14469863091322699</v>
      </c>
      <c r="M56" s="34">
        <v>1955.8424919199999</v>
      </c>
    </row>
    <row r="57" spans="1:13" x14ac:dyDescent="0.25">
      <c r="A57" s="25">
        <v>38929</v>
      </c>
      <c r="B57" s="26">
        <v>0.14679714745417799</v>
      </c>
      <c r="C57" s="27">
        <v>1014.34557473</v>
      </c>
      <c r="D57" s="28"/>
      <c r="E57" s="28"/>
      <c r="F57" s="26">
        <v>0.177798061964767</v>
      </c>
      <c r="G57" s="27">
        <v>287.82946416999999</v>
      </c>
      <c r="H57" s="28"/>
      <c r="I57" s="28"/>
      <c r="J57" s="26">
        <v>0.16884923775518301</v>
      </c>
      <c r="K57" s="27">
        <v>0.42033399999999999</v>
      </c>
      <c r="L57" s="26">
        <v>0.15368201879058499</v>
      </c>
      <c r="M57" s="29">
        <v>1304.1223729000001</v>
      </c>
    </row>
    <row r="58" spans="1:13" x14ac:dyDescent="0.25">
      <c r="A58" s="30">
        <v>38960</v>
      </c>
      <c r="B58" s="31">
        <v>0.14576705894904399</v>
      </c>
      <c r="C58" s="32">
        <v>1383.5320847</v>
      </c>
      <c r="D58" s="33"/>
      <c r="E58" s="33"/>
      <c r="F58" s="31">
        <v>0.17900776645819799</v>
      </c>
      <c r="G58" s="32">
        <v>597.46134811000002</v>
      </c>
      <c r="H58" s="33"/>
      <c r="I58" s="33"/>
      <c r="J58" s="31">
        <v>0.175791945679005</v>
      </c>
      <c r="K58" s="32">
        <v>0.79064108</v>
      </c>
      <c r="L58" s="31">
        <v>0.15579982227488501</v>
      </c>
      <c r="M58" s="34">
        <v>1985.45057389</v>
      </c>
    </row>
    <row r="59" spans="1:13" x14ac:dyDescent="0.25">
      <c r="A59" s="25">
        <v>38990</v>
      </c>
      <c r="B59" s="26">
        <v>0.14625113150327801</v>
      </c>
      <c r="C59" s="27">
        <v>1249.0075822700001</v>
      </c>
      <c r="D59" s="28"/>
      <c r="E59" s="28"/>
      <c r="F59" s="26">
        <v>0.176681216406051</v>
      </c>
      <c r="G59" s="27">
        <v>496.5656611</v>
      </c>
      <c r="H59" s="28"/>
      <c r="I59" s="28"/>
      <c r="J59" s="26">
        <v>0.170123739947591</v>
      </c>
      <c r="K59" s="27">
        <v>0.51917780999999996</v>
      </c>
      <c r="L59" s="26">
        <v>0.154926479804957</v>
      </c>
      <c r="M59" s="29">
        <v>1750.2594211799999</v>
      </c>
    </row>
    <row r="60" spans="1:13" x14ac:dyDescent="0.25">
      <c r="A60" s="30">
        <v>39021</v>
      </c>
      <c r="B60" s="31">
        <v>0.13851376001319199</v>
      </c>
      <c r="C60" s="32">
        <v>1333.96835356</v>
      </c>
      <c r="D60" s="33"/>
      <c r="E60" s="33"/>
      <c r="F60" s="31">
        <v>0.17528653519800999</v>
      </c>
      <c r="G60" s="32">
        <v>495.42655134</v>
      </c>
      <c r="H60" s="33"/>
      <c r="I60" s="33"/>
      <c r="J60" s="31">
        <v>0.16114167037107899</v>
      </c>
      <c r="K60" s="32">
        <v>1.025153</v>
      </c>
      <c r="L60" s="31">
        <v>0.14850128800925699</v>
      </c>
      <c r="M60" s="34">
        <v>1832.2808579</v>
      </c>
    </row>
    <row r="61" spans="1:13" x14ac:dyDescent="0.25">
      <c r="A61" s="25">
        <v>39051</v>
      </c>
      <c r="B61" s="26">
        <v>0.13479010650131501</v>
      </c>
      <c r="C61" s="27">
        <v>2112.8215592800002</v>
      </c>
      <c r="D61" s="28"/>
      <c r="E61" s="28"/>
      <c r="F61" s="26">
        <v>0.165547156344129</v>
      </c>
      <c r="G61" s="27">
        <v>788.63892727999996</v>
      </c>
      <c r="H61" s="28"/>
      <c r="I61" s="28"/>
      <c r="J61" s="26">
        <v>0.16838399483439201</v>
      </c>
      <c r="K61" s="27">
        <v>1.0209029999999999</v>
      </c>
      <c r="L61" s="26">
        <v>0.14317413669652601</v>
      </c>
      <c r="M61" s="29">
        <v>2905.8713205600002</v>
      </c>
    </row>
    <row r="62" spans="1:13" x14ac:dyDescent="0.25">
      <c r="A62" s="30">
        <v>39082</v>
      </c>
      <c r="B62" s="31">
        <v>0.13753098247409901</v>
      </c>
      <c r="C62" s="32">
        <v>2250.3181298999998</v>
      </c>
      <c r="D62" s="33"/>
      <c r="E62" s="33"/>
      <c r="F62" s="31">
        <v>0.16094038436100699</v>
      </c>
      <c r="G62" s="32">
        <v>590.78214840999999</v>
      </c>
      <c r="H62" s="33"/>
      <c r="I62" s="33"/>
      <c r="J62" s="31">
        <v>0.1888160305272</v>
      </c>
      <c r="K62" s="32">
        <v>1.32884</v>
      </c>
      <c r="L62" s="31">
        <v>0.14244467886988099</v>
      </c>
      <c r="M62" s="34">
        <v>2848.7996983100002</v>
      </c>
    </row>
    <row r="63" spans="1:13" x14ac:dyDescent="0.25">
      <c r="A63" s="25">
        <v>39113</v>
      </c>
      <c r="B63" s="26">
        <v>0.13886797038263901</v>
      </c>
      <c r="C63" s="27">
        <v>1343.9052237799999</v>
      </c>
      <c r="D63" s="28"/>
      <c r="E63" s="28"/>
      <c r="F63" s="26">
        <v>0.15591032493037801</v>
      </c>
      <c r="G63" s="27">
        <v>686.68993735000004</v>
      </c>
      <c r="H63" s="28"/>
      <c r="I63" s="28"/>
      <c r="J63" s="26">
        <v>0.161455160871496</v>
      </c>
      <c r="K63" s="27">
        <v>1.8916520100000001</v>
      </c>
      <c r="L63" s="26">
        <v>0.144666769603429</v>
      </c>
      <c r="M63" s="29">
        <v>2035.3882131400001</v>
      </c>
    </row>
    <row r="64" spans="1:13" x14ac:dyDescent="0.25">
      <c r="A64" s="30">
        <v>39141</v>
      </c>
      <c r="B64" s="31">
        <v>0.13797456047131501</v>
      </c>
      <c r="C64" s="32">
        <v>1781.35710866</v>
      </c>
      <c r="D64" s="33"/>
      <c r="E64" s="33"/>
      <c r="F64" s="31">
        <v>0.164036720449108</v>
      </c>
      <c r="G64" s="32">
        <v>579.39108964000002</v>
      </c>
      <c r="H64" s="33"/>
      <c r="I64" s="33"/>
      <c r="J64" s="31">
        <v>0.16253000105330301</v>
      </c>
      <c r="K64" s="32">
        <v>1.9781355599999999</v>
      </c>
      <c r="L64" s="31">
        <v>0.14439024246585899</v>
      </c>
      <c r="M64" s="34">
        <v>2366.13889586</v>
      </c>
    </row>
    <row r="65" spans="1:13" x14ac:dyDescent="0.25">
      <c r="A65" s="25">
        <v>39172</v>
      </c>
      <c r="B65" s="26">
        <v>0.14864553750380899</v>
      </c>
      <c r="C65" s="27">
        <v>1706.6347385399999</v>
      </c>
      <c r="D65" s="28"/>
      <c r="E65" s="28"/>
      <c r="F65" s="26">
        <v>0.16884554839452301</v>
      </c>
      <c r="G65" s="27">
        <v>562.07476610000003</v>
      </c>
      <c r="H65" s="28"/>
      <c r="I65" s="28"/>
      <c r="J65" s="26">
        <v>0.15877080142670699</v>
      </c>
      <c r="K65" s="27">
        <v>0.83847899999999997</v>
      </c>
      <c r="L65" s="26">
        <v>0.15365953212084299</v>
      </c>
      <c r="M65" s="29">
        <v>2272.4704836400001</v>
      </c>
    </row>
    <row r="66" spans="1:13" x14ac:dyDescent="0.25">
      <c r="A66" s="30">
        <v>39202</v>
      </c>
      <c r="B66" s="31">
        <v>0.15114051121017899</v>
      </c>
      <c r="C66" s="32">
        <v>1507.26502585</v>
      </c>
      <c r="D66" s="33"/>
      <c r="E66" s="33"/>
      <c r="F66" s="31">
        <v>0.17179255510354799</v>
      </c>
      <c r="G66" s="32">
        <v>431.22406205999999</v>
      </c>
      <c r="H66" s="33"/>
      <c r="I66" s="33"/>
      <c r="J66" s="31">
        <v>0.160487131703723</v>
      </c>
      <c r="K66" s="32">
        <v>1.2826277500000001</v>
      </c>
      <c r="L66" s="31">
        <v>0.155750946866615</v>
      </c>
      <c r="M66" s="34">
        <v>1942.1117156600001</v>
      </c>
    </row>
    <row r="67" spans="1:13" x14ac:dyDescent="0.25">
      <c r="A67" s="25">
        <v>39233</v>
      </c>
      <c r="B67" s="26">
        <v>0.159714959000365</v>
      </c>
      <c r="C67" s="27">
        <v>1997.9941156100001</v>
      </c>
      <c r="D67" s="28"/>
      <c r="E67" s="28"/>
      <c r="F67" s="26">
        <v>0.17713545309863701</v>
      </c>
      <c r="G67" s="27">
        <v>756.67955638000001</v>
      </c>
      <c r="H67" s="28"/>
      <c r="I67" s="28"/>
      <c r="J67" s="26">
        <v>0.17558936423700799</v>
      </c>
      <c r="K67" s="27">
        <v>2.2405140700000001</v>
      </c>
      <c r="L67" s="26">
        <v>0.164523836320803</v>
      </c>
      <c r="M67" s="29">
        <v>2759.6146030599998</v>
      </c>
    </row>
    <row r="68" spans="1:13" x14ac:dyDescent="0.25">
      <c r="A68" s="30">
        <v>39263</v>
      </c>
      <c r="B68" s="31">
        <v>0.16501399849283399</v>
      </c>
      <c r="C68" s="32">
        <v>1660.4171134000001</v>
      </c>
      <c r="D68" s="33"/>
      <c r="E68" s="33"/>
      <c r="F68" s="31">
        <v>0.18024439131391501</v>
      </c>
      <c r="G68" s="32">
        <v>546.35162736999996</v>
      </c>
      <c r="H68" s="33"/>
      <c r="I68" s="33"/>
      <c r="J68" s="31">
        <v>0.159468602499064</v>
      </c>
      <c r="K68" s="32">
        <v>1.767833</v>
      </c>
      <c r="L68" s="31">
        <v>0.16878095202132601</v>
      </c>
      <c r="M68" s="34">
        <v>2210.3790737700001</v>
      </c>
    </row>
    <row r="69" spans="1:13" x14ac:dyDescent="0.25">
      <c r="A69" s="25">
        <v>39294</v>
      </c>
      <c r="B69" s="26">
        <v>0.16805844113881299</v>
      </c>
      <c r="C69" s="27">
        <v>1642.86111241</v>
      </c>
      <c r="D69" s="28"/>
      <c r="E69" s="28"/>
      <c r="F69" s="26">
        <v>0.18401840120280899</v>
      </c>
      <c r="G69" s="27">
        <v>527.20746268000005</v>
      </c>
      <c r="H69" s="28"/>
      <c r="I69" s="28"/>
      <c r="J69" s="26">
        <v>0.18514983735389101</v>
      </c>
      <c r="K69" s="27">
        <v>1.6002364</v>
      </c>
      <c r="L69" s="26">
        <v>0.171961740277008</v>
      </c>
      <c r="M69" s="29">
        <v>2173.80968549</v>
      </c>
    </row>
    <row r="70" spans="1:13" x14ac:dyDescent="0.25">
      <c r="A70" s="30">
        <v>39325</v>
      </c>
      <c r="B70" s="31">
        <v>0.166739074850623</v>
      </c>
      <c r="C70" s="32">
        <v>2301.8991167200002</v>
      </c>
      <c r="D70" s="33"/>
      <c r="E70" s="33"/>
      <c r="F70" s="31">
        <v>0.187102087365141</v>
      </c>
      <c r="G70" s="32">
        <v>800.16285602000005</v>
      </c>
      <c r="H70" s="33"/>
      <c r="I70" s="33"/>
      <c r="J70" s="31">
        <v>0.18440567789698101</v>
      </c>
      <c r="K70" s="32">
        <v>2.3942501100000002</v>
      </c>
      <c r="L70" s="31">
        <v>0.17202664602534801</v>
      </c>
      <c r="M70" s="34">
        <v>3106.3849228499998</v>
      </c>
    </row>
    <row r="71" spans="1:13" x14ac:dyDescent="0.25">
      <c r="A71" s="25">
        <v>39355</v>
      </c>
      <c r="B71" s="26">
        <v>0.17307184716160301</v>
      </c>
      <c r="C71" s="27">
        <v>2033.85783735</v>
      </c>
      <c r="D71" s="28"/>
      <c r="E71" s="28"/>
      <c r="F71" s="26">
        <v>0.186958527599319</v>
      </c>
      <c r="G71" s="27">
        <v>611.52634078999995</v>
      </c>
      <c r="H71" s="28"/>
      <c r="I71" s="28"/>
      <c r="J71" s="26">
        <v>0.198883073490427</v>
      </c>
      <c r="K71" s="27">
        <v>0.55501699999999998</v>
      </c>
      <c r="L71" s="26">
        <v>0.17628840895161799</v>
      </c>
      <c r="M71" s="29">
        <v>2648.1923951399999</v>
      </c>
    </row>
    <row r="72" spans="1:13" x14ac:dyDescent="0.25">
      <c r="A72" s="30">
        <v>39386</v>
      </c>
      <c r="B72" s="31">
        <v>0.170363023544958</v>
      </c>
      <c r="C72" s="32">
        <v>2656.7218856999998</v>
      </c>
      <c r="D72" s="33"/>
      <c r="E72" s="33"/>
      <c r="F72" s="31">
        <v>0.18532724372124801</v>
      </c>
      <c r="G72" s="32">
        <v>806.15661445000001</v>
      </c>
      <c r="H72" s="33"/>
      <c r="I72" s="33"/>
      <c r="J72" s="31">
        <v>0.189538961205655</v>
      </c>
      <c r="K72" s="32">
        <v>2.1263760700000001</v>
      </c>
      <c r="L72" s="31">
        <v>0.173871241005255</v>
      </c>
      <c r="M72" s="34">
        <v>3468.20747622</v>
      </c>
    </row>
    <row r="73" spans="1:13" x14ac:dyDescent="0.25">
      <c r="A73" s="25">
        <v>39416</v>
      </c>
      <c r="B73" s="26">
        <v>0.168890763172375</v>
      </c>
      <c r="C73" s="27">
        <v>2475.8328956800001</v>
      </c>
      <c r="D73" s="28"/>
      <c r="E73" s="28"/>
      <c r="F73" s="26">
        <v>0.18936886079785101</v>
      </c>
      <c r="G73" s="27">
        <v>590.93906633999995</v>
      </c>
      <c r="H73" s="28"/>
      <c r="I73" s="28"/>
      <c r="J73" s="26">
        <v>0.17768563296935699</v>
      </c>
      <c r="K73" s="27">
        <v>2.7554205000000001</v>
      </c>
      <c r="L73" s="26">
        <v>0.17286211385683001</v>
      </c>
      <c r="M73" s="29">
        <v>3074.23098252</v>
      </c>
    </row>
    <row r="74" spans="1:13" x14ac:dyDescent="0.25">
      <c r="A74" s="30">
        <v>39447</v>
      </c>
      <c r="B74" s="31">
        <v>0.167117423400963</v>
      </c>
      <c r="C74" s="32">
        <v>3144.0518012699999</v>
      </c>
      <c r="D74" s="33"/>
      <c r="E74" s="33"/>
      <c r="F74" s="31">
        <v>0.18678352161428499</v>
      </c>
      <c r="G74" s="32">
        <v>720.64641572000005</v>
      </c>
      <c r="H74" s="31">
        <v>0.12337632330307099</v>
      </c>
      <c r="I74" s="32">
        <v>12.87294224</v>
      </c>
      <c r="J74" s="31">
        <v>0.188431722959116</v>
      </c>
      <c r="K74" s="32">
        <v>3.6020052300000001</v>
      </c>
      <c r="L74" s="31">
        <v>0.17066794065149701</v>
      </c>
      <c r="M74" s="34">
        <v>3884.53066446</v>
      </c>
    </row>
    <row r="75" spans="1:13" x14ac:dyDescent="0.25">
      <c r="A75" s="25">
        <v>39478</v>
      </c>
      <c r="B75" s="26">
        <v>0.17021529605646399</v>
      </c>
      <c r="C75" s="27">
        <v>2446.2821204000002</v>
      </c>
      <c r="D75" s="28"/>
      <c r="E75" s="28"/>
      <c r="F75" s="26">
        <v>0.189740970464084</v>
      </c>
      <c r="G75" s="27">
        <v>583.51700211000002</v>
      </c>
      <c r="H75" s="26">
        <v>0.12280000000000001</v>
      </c>
      <c r="I75" s="27">
        <v>10</v>
      </c>
      <c r="J75" s="26">
        <v>0.19940519842158999</v>
      </c>
      <c r="K75" s="27">
        <v>3.8346039799999998</v>
      </c>
      <c r="L75" s="26">
        <v>0.173852227393649</v>
      </c>
      <c r="M75" s="29">
        <v>3045.4090264900001</v>
      </c>
    </row>
    <row r="76" spans="1:13" x14ac:dyDescent="0.25">
      <c r="A76" s="30">
        <v>39507</v>
      </c>
      <c r="B76" s="31">
        <v>0.16908431643157601</v>
      </c>
      <c r="C76" s="32">
        <v>2737.15220391</v>
      </c>
      <c r="D76" s="33"/>
      <c r="E76" s="33"/>
      <c r="F76" s="31">
        <v>0.18989230960001799</v>
      </c>
      <c r="G76" s="32">
        <v>559.54309106999995</v>
      </c>
      <c r="H76" s="33"/>
      <c r="I76" s="33"/>
      <c r="J76" s="31">
        <v>0.19689576053732699</v>
      </c>
      <c r="K76" s="32">
        <v>3.8396844899999998</v>
      </c>
      <c r="L76" s="31">
        <v>0.17266746196691901</v>
      </c>
      <c r="M76" s="34">
        <v>3304.6751794699999</v>
      </c>
    </row>
    <row r="77" spans="1:13" x14ac:dyDescent="0.25">
      <c r="A77" s="25">
        <v>39538</v>
      </c>
      <c r="B77" s="26">
        <v>0.17043752550288599</v>
      </c>
      <c r="C77" s="27">
        <v>2650.8889806000002</v>
      </c>
      <c r="D77" s="28"/>
      <c r="E77" s="28"/>
      <c r="F77" s="26">
        <v>0.19044490122261201</v>
      </c>
      <c r="G77" s="27">
        <v>552.25309172000004</v>
      </c>
      <c r="H77" s="28"/>
      <c r="I77" s="28"/>
      <c r="J77" s="26">
        <v>0.207914226475053</v>
      </c>
      <c r="K77" s="27">
        <v>2.7135555199999999</v>
      </c>
      <c r="L77" s="26">
        <v>0.173925766337752</v>
      </c>
      <c r="M77" s="29">
        <v>3207.6264278399999</v>
      </c>
    </row>
    <row r="78" spans="1:13" x14ac:dyDescent="0.25">
      <c r="A78" s="30">
        <v>39568</v>
      </c>
      <c r="B78" s="31">
        <v>0.17117508259867101</v>
      </c>
      <c r="C78" s="32">
        <v>3625.3900083799999</v>
      </c>
      <c r="D78" s="33"/>
      <c r="E78" s="33"/>
      <c r="F78" s="31">
        <v>0.20732675540975301</v>
      </c>
      <c r="G78" s="32">
        <v>807.15691276999996</v>
      </c>
      <c r="H78" s="31">
        <v>0.13020000000000001</v>
      </c>
      <c r="I78" s="32">
        <v>5</v>
      </c>
      <c r="J78" s="31">
        <v>0.192473066185297</v>
      </c>
      <c r="K78" s="32">
        <v>3.6723135500000001</v>
      </c>
      <c r="L78" s="31">
        <v>0.177720115845138</v>
      </c>
      <c r="M78" s="34">
        <v>4447.0615347000003</v>
      </c>
    </row>
    <row r="79" spans="1:13" x14ac:dyDescent="0.25">
      <c r="A79" s="25">
        <v>39599</v>
      </c>
      <c r="B79" s="26">
        <v>0.16843072752156099</v>
      </c>
      <c r="C79" s="27">
        <v>2935.2974454599998</v>
      </c>
      <c r="D79" s="28"/>
      <c r="E79" s="28"/>
      <c r="F79" s="26">
        <v>0.20498105487764801</v>
      </c>
      <c r="G79" s="27">
        <v>544.69743524</v>
      </c>
      <c r="H79" s="28"/>
      <c r="I79" s="28"/>
      <c r="J79" s="26">
        <v>0.19791585762754599</v>
      </c>
      <c r="K79" s="27">
        <v>2.44222874</v>
      </c>
      <c r="L79" s="26">
        <v>0.17416260351886201</v>
      </c>
      <c r="M79" s="29">
        <v>3486.8761094400002</v>
      </c>
    </row>
    <row r="80" spans="1:13" x14ac:dyDescent="0.25">
      <c r="A80" s="30">
        <v>39629</v>
      </c>
      <c r="B80" s="31">
        <v>0.16965717770125799</v>
      </c>
      <c r="C80" s="32">
        <v>3404.60206135</v>
      </c>
      <c r="D80" s="33"/>
      <c r="E80" s="33"/>
      <c r="F80" s="31">
        <v>0.20323838765925301</v>
      </c>
      <c r="G80" s="32">
        <v>663.21542390000002</v>
      </c>
      <c r="H80" s="33"/>
      <c r="I80" s="33"/>
      <c r="J80" s="31">
        <v>0.19870506904396901</v>
      </c>
      <c r="K80" s="32">
        <v>3.79214977</v>
      </c>
      <c r="L80" s="31">
        <v>0.175153138369845</v>
      </c>
      <c r="M80" s="34">
        <v>4073.9566350199998</v>
      </c>
    </row>
    <row r="81" spans="1:13" x14ac:dyDescent="0.25">
      <c r="A81" s="25">
        <v>39660</v>
      </c>
      <c r="B81" s="26">
        <v>0.16877937987031799</v>
      </c>
      <c r="C81" s="27">
        <v>3882.7038296400001</v>
      </c>
      <c r="D81" s="28"/>
      <c r="E81" s="28"/>
      <c r="F81" s="26">
        <v>0.20279324645847699</v>
      </c>
      <c r="G81" s="27">
        <v>617.29605751999998</v>
      </c>
      <c r="H81" s="28"/>
      <c r="I81" s="28"/>
      <c r="J81" s="26">
        <v>0.19388737861969499</v>
      </c>
      <c r="K81" s="27">
        <v>4.0031699700000001</v>
      </c>
      <c r="L81" s="26">
        <v>0.17345885254038501</v>
      </c>
      <c r="M81" s="29">
        <v>4506.5660571300004</v>
      </c>
    </row>
    <row r="82" spans="1:13" x14ac:dyDescent="0.25">
      <c r="A82" s="30">
        <v>39691</v>
      </c>
      <c r="B82" s="31">
        <v>0.1693887672421</v>
      </c>
      <c r="C82" s="32">
        <v>3498.03121835</v>
      </c>
      <c r="D82" s="33"/>
      <c r="E82" s="33"/>
      <c r="F82" s="31">
        <v>0.201060332055715</v>
      </c>
      <c r="G82" s="32">
        <v>520.30707159999997</v>
      </c>
      <c r="H82" s="33"/>
      <c r="I82" s="33"/>
      <c r="J82" s="31">
        <v>0.20284183018251101</v>
      </c>
      <c r="K82" s="32">
        <v>3.6261275199999998</v>
      </c>
      <c r="L82" s="31">
        <v>0.17350823508110699</v>
      </c>
      <c r="M82" s="34">
        <v>4025.94321747</v>
      </c>
    </row>
    <row r="83" spans="1:13" x14ac:dyDescent="0.25">
      <c r="A83" s="25">
        <v>39721</v>
      </c>
      <c r="B83" s="26">
        <v>0.17155796938214499</v>
      </c>
      <c r="C83" s="27">
        <v>3489.1187999700001</v>
      </c>
      <c r="D83" s="28"/>
      <c r="E83" s="28"/>
      <c r="F83" s="26">
        <v>0.20112645396582499</v>
      </c>
      <c r="G83" s="27">
        <v>643.76084831000003</v>
      </c>
      <c r="H83" s="28"/>
      <c r="I83" s="28"/>
      <c r="J83" s="26">
        <v>0.200178995428416</v>
      </c>
      <c r="K83" s="27">
        <v>3.90890067</v>
      </c>
      <c r="L83" s="26">
        <v>0.176188384404176</v>
      </c>
      <c r="M83" s="29">
        <v>4139.5940489499999</v>
      </c>
    </row>
    <row r="84" spans="1:13" x14ac:dyDescent="0.25">
      <c r="A84" s="30">
        <v>39752</v>
      </c>
      <c r="B84" s="31">
        <v>0.16560789429922401</v>
      </c>
      <c r="C84" s="32">
        <v>5563.4800116699998</v>
      </c>
      <c r="D84" s="33"/>
      <c r="E84" s="33"/>
      <c r="F84" s="31">
        <v>0.19692691287994599</v>
      </c>
      <c r="G84" s="32">
        <v>1044.5472938099999</v>
      </c>
      <c r="H84" s="33"/>
      <c r="I84" s="33"/>
      <c r="J84" s="31">
        <v>0.19486337021771899</v>
      </c>
      <c r="K84" s="32">
        <v>3.8919906900000001</v>
      </c>
      <c r="L84" s="31">
        <v>0.17056849559349899</v>
      </c>
      <c r="M84" s="34">
        <v>6616.9838071699996</v>
      </c>
    </row>
    <row r="85" spans="1:13" x14ac:dyDescent="0.25">
      <c r="A85" s="25">
        <v>39782</v>
      </c>
      <c r="B85" s="26">
        <v>0.170835043559556</v>
      </c>
      <c r="C85" s="27">
        <v>3964.70178106</v>
      </c>
      <c r="D85" s="28"/>
      <c r="E85" s="28"/>
      <c r="F85" s="26">
        <v>0.20307151141420801</v>
      </c>
      <c r="G85" s="27">
        <v>660.27982957999996</v>
      </c>
      <c r="H85" s="28"/>
      <c r="I85" s="28"/>
      <c r="J85" s="26">
        <v>0.20846052919670799</v>
      </c>
      <c r="K85" s="27">
        <v>2.4693594299999999</v>
      </c>
      <c r="L85" s="26">
        <v>0.17544342399715199</v>
      </c>
      <c r="M85" s="29">
        <v>4631.3044700700002</v>
      </c>
    </row>
    <row r="86" spans="1:13" x14ac:dyDescent="0.25">
      <c r="A86" s="30">
        <v>39813</v>
      </c>
      <c r="B86" s="31">
        <v>0.17177304965908699</v>
      </c>
      <c r="C86" s="32">
        <v>5660.8354082899996</v>
      </c>
      <c r="D86" s="33"/>
      <c r="E86" s="33"/>
      <c r="F86" s="31">
        <v>0.20380850575717499</v>
      </c>
      <c r="G86" s="32">
        <v>1100.9320926099999</v>
      </c>
      <c r="H86" s="33"/>
      <c r="I86" s="33"/>
      <c r="J86" s="31">
        <v>0.20124968640083701</v>
      </c>
      <c r="K86" s="32">
        <v>4.0142667200000002</v>
      </c>
      <c r="L86" s="31">
        <v>0.17699083335551299</v>
      </c>
      <c r="M86" s="34">
        <v>6771.48641262</v>
      </c>
    </row>
    <row r="87" spans="1:13" x14ac:dyDescent="0.25">
      <c r="A87" s="25">
        <v>39844</v>
      </c>
      <c r="B87" s="26">
        <v>0.166440266234509</v>
      </c>
      <c r="C87" s="27">
        <v>3297.5719196300001</v>
      </c>
      <c r="D87" s="28"/>
      <c r="E87" s="28"/>
      <c r="F87" s="26">
        <v>0.20196594988573799</v>
      </c>
      <c r="G87" s="27">
        <v>642.75947713000005</v>
      </c>
      <c r="H87" s="28"/>
      <c r="I87" s="28"/>
      <c r="J87" s="26">
        <v>0.190970224658812</v>
      </c>
      <c r="K87" s="27">
        <v>4.4185010399999998</v>
      </c>
      <c r="L87" s="26">
        <v>0.17224518493525701</v>
      </c>
      <c r="M87" s="29">
        <v>3947.5888977999998</v>
      </c>
    </row>
    <row r="88" spans="1:13" x14ac:dyDescent="0.25">
      <c r="A88" s="30">
        <v>39872</v>
      </c>
      <c r="B88" s="31">
        <v>0.163688665156006</v>
      </c>
      <c r="C88" s="32">
        <v>4115.4068944000001</v>
      </c>
      <c r="D88" s="33"/>
      <c r="E88" s="33"/>
      <c r="F88" s="31">
        <v>0.19447457827298101</v>
      </c>
      <c r="G88" s="32">
        <v>739.50269754999999</v>
      </c>
      <c r="H88" s="33"/>
      <c r="I88" s="33"/>
      <c r="J88" s="31">
        <v>0.19211865349096</v>
      </c>
      <c r="K88" s="32">
        <v>4.5505059699999997</v>
      </c>
      <c r="L88" s="31">
        <v>0.168374506598929</v>
      </c>
      <c r="M88" s="34">
        <v>4865.1305829200001</v>
      </c>
    </row>
    <row r="89" spans="1:13" x14ac:dyDescent="0.25">
      <c r="A89" s="25">
        <v>39903</v>
      </c>
      <c r="B89" s="26">
        <v>0.158441230607795</v>
      </c>
      <c r="C89" s="27">
        <v>3424.6857017500001</v>
      </c>
      <c r="D89" s="28"/>
      <c r="E89" s="28"/>
      <c r="F89" s="26">
        <v>0.19329961657502401</v>
      </c>
      <c r="G89" s="27">
        <v>667.19904355000006</v>
      </c>
      <c r="H89" s="28"/>
      <c r="I89" s="28"/>
      <c r="J89" s="26">
        <v>0.18373520791114201</v>
      </c>
      <c r="K89" s="27">
        <v>3.09686825</v>
      </c>
      <c r="L89" s="26">
        <v>0.16412601568228599</v>
      </c>
      <c r="M89" s="29">
        <v>4099.4748655499998</v>
      </c>
    </row>
    <row r="90" spans="1:13" x14ac:dyDescent="0.25">
      <c r="A90" s="30">
        <v>39933</v>
      </c>
      <c r="B90" s="31">
        <v>0.14495503260508999</v>
      </c>
      <c r="C90" s="32">
        <v>4707.2091680499998</v>
      </c>
      <c r="D90" s="33"/>
      <c r="E90" s="33"/>
      <c r="F90" s="31">
        <v>0.180621432129873</v>
      </c>
      <c r="G90" s="32">
        <v>951.80637591000004</v>
      </c>
      <c r="H90" s="33"/>
      <c r="I90" s="33"/>
      <c r="J90" s="31">
        <v>0.17210201791194099</v>
      </c>
      <c r="K90" s="32">
        <v>7.1745659899999996</v>
      </c>
      <c r="L90" s="31">
        <v>0.15095856035513799</v>
      </c>
      <c r="M90" s="34">
        <v>5672.9349239499998</v>
      </c>
    </row>
    <row r="91" spans="1:13" x14ac:dyDescent="0.25">
      <c r="A91" s="25">
        <v>39964</v>
      </c>
      <c r="B91" s="26">
        <v>0.13382333511791999</v>
      </c>
      <c r="C91" s="27">
        <v>3864.99164075</v>
      </c>
      <c r="D91" s="28"/>
      <c r="E91" s="28"/>
      <c r="F91" s="26">
        <v>0.17303027738597099</v>
      </c>
      <c r="G91" s="27">
        <v>688.67226068000002</v>
      </c>
      <c r="H91" s="28"/>
      <c r="I91" s="28"/>
      <c r="J91" s="26">
        <v>0.16059544122184899</v>
      </c>
      <c r="K91" s="27">
        <v>6.7691675299999998</v>
      </c>
      <c r="L91" s="26">
        <v>0.13975052459704901</v>
      </c>
      <c r="M91" s="29">
        <v>4569.40987296</v>
      </c>
    </row>
    <row r="92" spans="1:13" x14ac:dyDescent="0.25">
      <c r="A92" s="30">
        <v>39994</v>
      </c>
      <c r="B92" s="31">
        <v>0.124069530657284</v>
      </c>
      <c r="C92" s="32">
        <v>3469.99935271</v>
      </c>
      <c r="D92" s="33"/>
      <c r="E92" s="33"/>
      <c r="F92" s="31">
        <v>0.161112763511469</v>
      </c>
      <c r="G92" s="32">
        <v>655.82984123999995</v>
      </c>
      <c r="H92" s="33"/>
      <c r="I92" s="33"/>
      <c r="J92" s="31">
        <v>0.15070107853743001</v>
      </c>
      <c r="K92" s="32">
        <v>8.9253130299999999</v>
      </c>
      <c r="L92" s="31">
        <v>0.129917701502199</v>
      </c>
      <c r="M92" s="34">
        <v>4148.9026049800004</v>
      </c>
    </row>
    <row r="93" spans="1:13" x14ac:dyDescent="0.25">
      <c r="A93" s="25">
        <v>40025</v>
      </c>
      <c r="B93" s="26">
        <v>0.120314662527311</v>
      </c>
      <c r="C93" s="27">
        <v>4131.4803101999996</v>
      </c>
      <c r="D93" s="28"/>
      <c r="E93" s="28"/>
      <c r="F93" s="26">
        <v>0.160013432921955</v>
      </c>
      <c r="G93" s="27">
        <v>976.16116108000006</v>
      </c>
      <c r="H93" s="28"/>
      <c r="I93" s="28"/>
      <c r="J93" s="26">
        <v>0.15690865739381901</v>
      </c>
      <c r="K93" s="27">
        <v>7.5639151299999998</v>
      </c>
      <c r="L93" s="26">
        <v>0.12787965115639099</v>
      </c>
      <c r="M93" s="29">
        <v>5132.4614124099999</v>
      </c>
    </row>
    <row r="94" spans="1:13" x14ac:dyDescent="0.25">
      <c r="A94" s="30">
        <v>40056</v>
      </c>
      <c r="B94" s="31">
        <v>0.11535112235864201</v>
      </c>
      <c r="C94" s="32">
        <v>3293.7878792299998</v>
      </c>
      <c r="D94" s="33"/>
      <c r="E94" s="33"/>
      <c r="F94" s="31">
        <v>0.15126643872416001</v>
      </c>
      <c r="G94" s="32">
        <v>970.65022551000004</v>
      </c>
      <c r="H94" s="33"/>
      <c r="I94" s="33"/>
      <c r="J94" s="31">
        <v>0.17156175929065201</v>
      </c>
      <c r="K94" s="32">
        <v>5.9315014799999997</v>
      </c>
      <c r="L94" s="31">
        <v>0.123556405972423</v>
      </c>
      <c r="M94" s="34">
        <v>4279.8529872199997</v>
      </c>
    </row>
    <row r="95" spans="1:13" x14ac:dyDescent="0.25">
      <c r="A95" s="25">
        <v>40086</v>
      </c>
      <c r="B95" s="26">
        <v>0.11340692508821</v>
      </c>
      <c r="C95" s="27">
        <v>4950.4103936499996</v>
      </c>
      <c r="D95" s="28"/>
      <c r="E95" s="28"/>
      <c r="F95" s="26">
        <v>0.156709267910834</v>
      </c>
      <c r="G95" s="27">
        <v>994.14196960000004</v>
      </c>
      <c r="H95" s="28"/>
      <c r="I95" s="28"/>
      <c r="J95" s="26">
        <v>0.170726707584616</v>
      </c>
      <c r="K95" s="27">
        <v>7.8129509800000001</v>
      </c>
      <c r="L95" s="26">
        <v>0.120647822941922</v>
      </c>
      <c r="M95" s="29">
        <v>5974.4301802299997</v>
      </c>
    </row>
    <row r="96" spans="1:13" x14ac:dyDescent="0.25">
      <c r="A96" s="30">
        <v>40117</v>
      </c>
      <c r="B96" s="31">
        <v>0.107474573964849</v>
      </c>
      <c r="C96" s="32">
        <v>3682.3793283800001</v>
      </c>
      <c r="D96" s="33"/>
      <c r="E96" s="33"/>
      <c r="F96" s="31">
        <v>0.155589144025163</v>
      </c>
      <c r="G96" s="32">
        <v>716.28412694999997</v>
      </c>
      <c r="H96" s="33"/>
      <c r="I96" s="33"/>
      <c r="J96" s="31">
        <v>0.148224786025553</v>
      </c>
      <c r="K96" s="32">
        <v>7.7910001099999997</v>
      </c>
      <c r="L96" s="31">
        <v>0.11525194396858</v>
      </c>
      <c r="M96" s="34">
        <v>4432.4739334400001</v>
      </c>
    </row>
    <row r="97" spans="1:13" x14ac:dyDescent="0.25">
      <c r="A97" s="25">
        <v>40147</v>
      </c>
      <c r="B97" s="26">
        <v>0.10515538237140699</v>
      </c>
      <c r="C97" s="27">
        <v>3398.7370426299999</v>
      </c>
      <c r="D97" s="28"/>
      <c r="E97" s="28"/>
      <c r="F97" s="26">
        <v>0.14537523922887699</v>
      </c>
      <c r="G97" s="27">
        <v>603.58533216000001</v>
      </c>
      <c r="H97" s="28"/>
      <c r="I97" s="28"/>
      <c r="J97" s="26">
        <v>0.15604284329413001</v>
      </c>
      <c r="K97" s="27">
        <v>8.4583898499999997</v>
      </c>
      <c r="L97" s="26">
        <v>0.111236412503669</v>
      </c>
      <c r="M97" s="29">
        <v>4034.0725096400001</v>
      </c>
    </row>
    <row r="98" spans="1:13" x14ac:dyDescent="0.25">
      <c r="A98" s="30">
        <v>40178</v>
      </c>
      <c r="B98" s="31">
        <v>9.9080025581882197E-2</v>
      </c>
      <c r="C98" s="32">
        <v>5731.4316224699996</v>
      </c>
      <c r="D98" s="33"/>
      <c r="E98" s="33"/>
      <c r="F98" s="31">
        <v>0.13779297943307101</v>
      </c>
      <c r="G98" s="32">
        <v>1216.7830555400001</v>
      </c>
      <c r="H98" s="33"/>
      <c r="I98" s="33"/>
      <c r="J98" s="31">
        <v>0.15783552131630199</v>
      </c>
      <c r="K98" s="32">
        <v>12.86104188</v>
      </c>
      <c r="L98" s="31">
        <v>0.105885907319702</v>
      </c>
      <c r="M98" s="34">
        <v>6995.3556848899998</v>
      </c>
    </row>
    <row r="99" spans="1:13" x14ac:dyDescent="0.25">
      <c r="A99" s="25">
        <v>40209</v>
      </c>
      <c r="B99" s="26">
        <v>0.100423960334452</v>
      </c>
      <c r="C99" s="27">
        <v>3343.3693494099998</v>
      </c>
      <c r="D99" s="28"/>
      <c r="E99" s="28"/>
      <c r="F99" s="26">
        <v>0.13822109525689</v>
      </c>
      <c r="G99" s="27">
        <v>686.95185927</v>
      </c>
      <c r="H99" s="28"/>
      <c r="I99" s="28"/>
      <c r="J99" s="26">
        <v>0.14833384588160001</v>
      </c>
      <c r="K99" s="27">
        <v>8.5271060599999995</v>
      </c>
      <c r="L99" s="26">
        <v>0.106932493914196</v>
      </c>
      <c r="M99" s="29">
        <v>4048.4238147400001</v>
      </c>
    </row>
    <row r="100" spans="1:13" x14ac:dyDescent="0.25">
      <c r="A100" s="30">
        <v>40237</v>
      </c>
      <c r="B100" s="31">
        <v>9.9957933130317506E-2</v>
      </c>
      <c r="C100" s="32">
        <v>4043.1787286499998</v>
      </c>
      <c r="D100" s="33"/>
      <c r="E100" s="33"/>
      <c r="F100" s="31">
        <v>0.140553972908704</v>
      </c>
      <c r="G100" s="32">
        <v>707.74432854999998</v>
      </c>
      <c r="H100" s="33"/>
      <c r="I100" s="33"/>
      <c r="J100" s="31">
        <v>0.13930725959118601</v>
      </c>
      <c r="K100" s="32">
        <v>9.84699846</v>
      </c>
      <c r="L100" s="31">
        <v>0.106053527873246</v>
      </c>
      <c r="M100" s="34">
        <v>4772.7252186599999</v>
      </c>
    </row>
    <row r="101" spans="1:13" x14ac:dyDescent="0.25">
      <c r="A101" s="25">
        <v>40268</v>
      </c>
      <c r="B101" s="26">
        <v>9.8350326155994997E-2</v>
      </c>
      <c r="C101" s="27">
        <v>4416.9552050800003</v>
      </c>
      <c r="D101" s="28"/>
      <c r="E101" s="28"/>
      <c r="F101" s="26">
        <v>0.139742509482395</v>
      </c>
      <c r="G101" s="27">
        <v>860.08423014000005</v>
      </c>
      <c r="H101" s="28"/>
      <c r="I101" s="28"/>
      <c r="J101" s="26">
        <v>0.156088091625182</v>
      </c>
      <c r="K101" s="27">
        <v>9.4080946000000001</v>
      </c>
      <c r="L101" s="26">
        <v>0.10514506345835201</v>
      </c>
      <c r="M101" s="29">
        <v>5309.6151708199995</v>
      </c>
    </row>
    <row r="102" spans="1:13" x14ac:dyDescent="0.25">
      <c r="A102" s="30">
        <v>40298</v>
      </c>
      <c r="B102" s="31">
        <v>9.8116287291135904E-2</v>
      </c>
      <c r="C102" s="32">
        <v>3700.8737632299999</v>
      </c>
      <c r="D102" s="33"/>
      <c r="E102" s="33"/>
      <c r="F102" s="31">
        <v>0.137539303519115</v>
      </c>
      <c r="G102" s="32">
        <v>798.33037827999999</v>
      </c>
      <c r="H102" s="33"/>
      <c r="I102" s="33"/>
      <c r="J102" s="31">
        <v>0.16571858574404699</v>
      </c>
      <c r="K102" s="32">
        <v>8.3612888299999995</v>
      </c>
      <c r="L102" s="31">
        <v>0.10518671561002101</v>
      </c>
      <c r="M102" s="34">
        <v>4520.3938643399997</v>
      </c>
    </row>
    <row r="103" spans="1:13" x14ac:dyDescent="0.25">
      <c r="A103" s="25">
        <v>40329</v>
      </c>
      <c r="B103" s="26">
        <v>9.6661848806499695E-2</v>
      </c>
      <c r="C103" s="27">
        <v>3440.57567036</v>
      </c>
      <c r="D103" s="28"/>
      <c r="E103" s="28"/>
      <c r="F103" s="26">
        <v>0.13465461125842099</v>
      </c>
      <c r="G103" s="27">
        <v>715.62092829000005</v>
      </c>
      <c r="H103" s="28"/>
      <c r="I103" s="28"/>
      <c r="J103" s="26">
        <v>0.14003963218705001</v>
      </c>
      <c r="K103" s="27">
        <v>8.1771587700000001</v>
      </c>
      <c r="L103" s="26">
        <v>0.103233223847776</v>
      </c>
      <c r="M103" s="29">
        <v>4179.6520934199998</v>
      </c>
    </row>
    <row r="104" spans="1:13" x14ac:dyDescent="0.25">
      <c r="A104" s="30">
        <v>40359</v>
      </c>
      <c r="B104" s="31">
        <v>9.2631459399984101E-2</v>
      </c>
      <c r="C104" s="32">
        <v>5431.2234488800004</v>
      </c>
      <c r="D104" s="33"/>
      <c r="E104" s="33"/>
      <c r="F104" s="31">
        <v>0.13809007415222699</v>
      </c>
      <c r="G104" s="32">
        <v>1165.6771645700001</v>
      </c>
      <c r="H104" s="33"/>
      <c r="I104" s="33"/>
      <c r="J104" s="31">
        <v>0.149562675322338</v>
      </c>
      <c r="K104" s="32">
        <v>23.916623980000001</v>
      </c>
      <c r="L104" s="31">
        <v>0.10079129574960601</v>
      </c>
      <c r="M104" s="34">
        <v>6653.7203374299997</v>
      </c>
    </row>
    <row r="105" spans="1:13" x14ac:dyDescent="0.25">
      <c r="A105" s="25">
        <v>40390</v>
      </c>
      <c r="B105" s="26">
        <v>9.2080224082166595E-2</v>
      </c>
      <c r="C105" s="27">
        <v>3954.4428900399998</v>
      </c>
      <c r="D105" s="28"/>
      <c r="E105" s="28"/>
      <c r="F105" s="26">
        <v>0.13626011573821001</v>
      </c>
      <c r="G105" s="27">
        <v>725.45429173000002</v>
      </c>
      <c r="H105" s="28"/>
      <c r="I105" s="28"/>
      <c r="J105" s="26">
        <v>0.13264703298407299</v>
      </c>
      <c r="K105" s="27">
        <v>14.962949119999999</v>
      </c>
      <c r="L105" s="26">
        <v>9.9014233946569205E-2</v>
      </c>
      <c r="M105" s="29">
        <v>4704.4507808899998</v>
      </c>
    </row>
    <row r="106" spans="1:13" x14ac:dyDescent="0.25">
      <c r="A106" s="30">
        <v>40421</v>
      </c>
      <c r="B106" s="31">
        <v>9.1976634455666006E-2</v>
      </c>
      <c r="C106" s="32">
        <v>4000.67046983</v>
      </c>
      <c r="D106" s="33"/>
      <c r="E106" s="33"/>
      <c r="F106" s="31">
        <v>0.139101474554087</v>
      </c>
      <c r="G106" s="32">
        <v>624.79557284999999</v>
      </c>
      <c r="H106" s="33"/>
      <c r="I106" s="33"/>
      <c r="J106" s="31">
        <v>0.130234593851628</v>
      </c>
      <c r="K106" s="32">
        <v>12.31914248</v>
      </c>
      <c r="L106" s="31">
        <v>9.8372473210672301E-2</v>
      </c>
      <c r="M106" s="34">
        <v>4656.5081621600002</v>
      </c>
    </row>
    <row r="107" spans="1:13" x14ac:dyDescent="0.25">
      <c r="A107" s="25">
        <v>40451</v>
      </c>
      <c r="B107" s="26">
        <v>9.1461455982183498E-2</v>
      </c>
      <c r="C107" s="27">
        <v>5798.5642410600003</v>
      </c>
      <c r="D107" s="28"/>
      <c r="E107" s="28"/>
      <c r="F107" s="26">
        <v>0.12984814456024801</v>
      </c>
      <c r="G107" s="27">
        <v>1053.30812584</v>
      </c>
      <c r="H107" s="28"/>
      <c r="I107" s="28"/>
      <c r="J107" s="26">
        <v>0.13213356142340599</v>
      </c>
      <c r="K107" s="27">
        <v>20.078943509999998</v>
      </c>
      <c r="L107" s="26">
        <v>9.7409925950572698E-2</v>
      </c>
      <c r="M107" s="29">
        <v>6902.36800141</v>
      </c>
    </row>
    <row r="108" spans="1:13" x14ac:dyDescent="0.25">
      <c r="A108" s="30">
        <v>40482</v>
      </c>
      <c r="B108" s="31">
        <v>9.0013118904961706E-2</v>
      </c>
      <c r="C108" s="32">
        <v>4393.5237068699998</v>
      </c>
      <c r="D108" s="33"/>
      <c r="E108" s="33"/>
      <c r="F108" s="31">
        <v>0.117046926690105</v>
      </c>
      <c r="G108" s="32">
        <v>735.92444622000005</v>
      </c>
      <c r="H108" s="33"/>
      <c r="I108" s="33"/>
      <c r="J108" s="31">
        <v>0.13671209222314101</v>
      </c>
      <c r="K108" s="32">
        <v>20.791958099999999</v>
      </c>
      <c r="L108" s="31">
        <v>9.4045322483337995E-2</v>
      </c>
      <c r="M108" s="34">
        <v>5167.7044301899996</v>
      </c>
    </row>
    <row r="109" spans="1:13" x14ac:dyDescent="0.25">
      <c r="A109" s="25">
        <v>40512</v>
      </c>
      <c r="B109" s="26">
        <v>8.7742716337816995E-2</v>
      </c>
      <c r="C109" s="27">
        <v>4226.3946773300004</v>
      </c>
      <c r="D109" s="28"/>
      <c r="E109" s="28"/>
      <c r="F109" s="26">
        <v>0.11467796831178401</v>
      </c>
      <c r="G109" s="27">
        <v>768.20893659000001</v>
      </c>
      <c r="H109" s="28"/>
      <c r="I109" s="28"/>
      <c r="J109" s="26">
        <v>0.12004657348965</v>
      </c>
      <c r="K109" s="27">
        <v>21.0851398</v>
      </c>
      <c r="L109" s="26">
        <v>9.1909758651552306E-2</v>
      </c>
      <c r="M109" s="29">
        <v>5053.5416297199999</v>
      </c>
    </row>
    <row r="110" spans="1:13" x14ac:dyDescent="0.25">
      <c r="A110" s="30">
        <v>40543</v>
      </c>
      <c r="B110" s="31">
        <v>8.9244300188674894E-2</v>
      </c>
      <c r="C110" s="32">
        <v>7357.5120116199996</v>
      </c>
      <c r="D110" s="33"/>
      <c r="E110" s="33"/>
      <c r="F110" s="31">
        <v>0.11292462658246499</v>
      </c>
      <c r="G110" s="32">
        <v>1356.8660668099999</v>
      </c>
      <c r="H110" s="33"/>
      <c r="I110" s="33"/>
      <c r="J110" s="31">
        <v>0.123221782172624</v>
      </c>
      <c r="K110" s="32">
        <v>29.771605569999998</v>
      </c>
      <c r="L110" s="31">
        <v>9.2986596581326297E-2</v>
      </c>
      <c r="M110" s="34">
        <v>8784.3039370000006</v>
      </c>
    </row>
    <row r="111" spans="1:13" x14ac:dyDescent="0.25">
      <c r="A111" s="25">
        <v>40574</v>
      </c>
      <c r="B111" s="26">
        <v>9.5841971183544303E-2</v>
      </c>
      <c r="C111" s="27">
        <v>2300.1073406800001</v>
      </c>
      <c r="D111" s="28"/>
      <c r="E111" s="28"/>
      <c r="F111" s="26">
        <v>0.119378089135347</v>
      </c>
      <c r="G111" s="27">
        <v>575.44797300000005</v>
      </c>
      <c r="H111" s="28"/>
      <c r="I111" s="28"/>
      <c r="J111" s="26">
        <v>0.119378763711795</v>
      </c>
      <c r="K111" s="27">
        <v>21.51936998</v>
      </c>
      <c r="L111" s="26">
        <v>0.100653983412757</v>
      </c>
      <c r="M111" s="29">
        <v>2907.0286106600001</v>
      </c>
    </row>
    <row r="112" spans="1:13" x14ac:dyDescent="0.25">
      <c r="A112" s="30">
        <v>40602</v>
      </c>
      <c r="B112" s="31">
        <v>9.4048961746531004E-2</v>
      </c>
      <c r="C112" s="32">
        <v>3029.33050675</v>
      </c>
      <c r="D112" s="33"/>
      <c r="E112" s="33"/>
      <c r="F112" s="31">
        <v>0.11230592434957699</v>
      </c>
      <c r="G112" s="32">
        <v>792.19251702999998</v>
      </c>
      <c r="H112" s="33"/>
      <c r="I112" s="33"/>
      <c r="J112" s="31">
        <v>0.124083728009416</v>
      </c>
      <c r="K112" s="32">
        <v>20.2520229</v>
      </c>
      <c r="L112" s="31">
        <v>9.7904540539530197E-2</v>
      </c>
      <c r="M112" s="34">
        <v>3860.2466096799999</v>
      </c>
    </row>
    <row r="113" spans="1:13" x14ac:dyDescent="0.25">
      <c r="A113" s="25">
        <v>40633</v>
      </c>
      <c r="B113" s="26">
        <v>9.6832814656167193E-2</v>
      </c>
      <c r="C113" s="27">
        <v>3818.6754481799999</v>
      </c>
      <c r="D113" s="28"/>
      <c r="E113" s="28"/>
      <c r="F113" s="26">
        <v>0.113673149925075</v>
      </c>
      <c r="G113" s="27">
        <v>1013.87474924</v>
      </c>
      <c r="H113" s="28"/>
      <c r="I113" s="28"/>
      <c r="J113" s="26">
        <v>0.13159919287487301</v>
      </c>
      <c r="K113" s="27">
        <v>27.26665685</v>
      </c>
      <c r="L113" s="26">
        <v>0.100445190642334</v>
      </c>
      <c r="M113" s="29">
        <v>4883.92719227</v>
      </c>
    </row>
    <row r="114" spans="1:13" x14ac:dyDescent="0.25">
      <c r="A114" s="30">
        <v>40663</v>
      </c>
      <c r="B114" s="31">
        <v>9.7434167041793196E-2</v>
      </c>
      <c r="C114" s="32">
        <v>2817.6276369500001</v>
      </c>
      <c r="D114" s="33"/>
      <c r="E114" s="33"/>
      <c r="F114" s="31">
        <v>0.116927396593986</v>
      </c>
      <c r="G114" s="32">
        <v>677.67153056999996</v>
      </c>
      <c r="H114" s="33"/>
      <c r="I114" s="33"/>
      <c r="J114" s="31">
        <v>0.12958623042373399</v>
      </c>
      <c r="K114" s="32">
        <v>9.1160792700000002</v>
      </c>
      <c r="L114" s="31">
        <v>0.101181552556126</v>
      </c>
      <c r="M114" s="34">
        <v>3526.7970237899999</v>
      </c>
    </row>
    <row r="115" spans="1:13" x14ac:dyDescent="0.25">
      <c r="A115" s="25">
        <v>40694</v>
      </c>
      <c r="B115" s="26">
        <v>9.74597237987717E-2</v>
      </c>
      <c r="C115" s="27">
        <v>3366.9111043500002</v>
      </c>
      <c r="D115" s="28"/>
      <c r="E115" s="28"/>
      <c r="F115" s="26">
        <v>0.116125857477615</v>
      </c>
      <c r="G115" s="27">
        <v>771.30074543000001</v>
      </c>
      <c r="H115" s="28"/>
      <c r="I115" s="28"/>
      <c r="J115" s="26">
        <v>0.13295034334160799</v>
      </c>
      <c r="K115" s="27">
        <v>8.9214309000000007</v>
      </c>
      <c r="L115" s="26">
        <v>0.10090136534382201</v>
      </c>
      <c r="M115" s="29">
        <v>4178.0180716799996</v>
      </c>
    </row>
    <row r="116" spans="1:13" x14ac:dyDescent="0.25">
      <c r="A116" s="30">
        <v>40724</v>
      </c>
      <c r="B116" s="31">
        <v>0.10251753201430699</v>
      </c>
      <c r="C116" s="32">
        <v>4318.65115221</v>
      </c>
      <c r="D116" s="33"/>
      <c r="E116" s="33"/>
      <c r="F116" s="31">
        <v>0.116491581851944</v>
      </c>
      <c r="G116" s="32">
        <v>1094.42269274</v>
      </c>
      <c r="H116" s="33"/>
      <c r="I116" s="33"/>
      <c r="J116" s="31">
        <v>0.130522609466624</v>
      </c>
      <c r="K116" s="32">
        <v>15.327555289999999</v>
      </c>
      <c r="L116" s="31">
        <v>0.105298414557948</v>
      </c>
      <c r="M116" s="34">
        <v>5465.0296062400002</v>
      </c>
    </row>
    <row r="117" spans="1:13" x14ac:dyDescent="0.25">
      <c r="A117" s="25">
        <v>40755</v>
      </c>
      <c r="B117" s="26">
        <v>0.102737810993536</v>
      </c>
      <c r="C117" s="27">
        <v>3251.0664966999998</v>
      </c>
      <c r="D117" s="28"/>
      <c r="E117" s="28"/>
      <c r="F117" s="26">
        <v>0.120533975971216</v>
      </c>
      <c r="G117" s="27">
        <v>782.23428989000001</v>
      </c>
      <c r="H117" s="28"/>
      <c r="I117" s="28"/>
      <c r="J117" s="26">
        <v>0.129738353431988</v>
      </c>
      <c r="K117" s="27">
        <v>11.46026784</v>
      </c>
      <c r="L117" s="26">
        <v>0.106128015869212</v>
      </c>
      <c r="M117" s="29">
        <v>4073.6498734299998</v>
      </c>
    </row>
    <row r="118" spans="1:13" x14ac:dyDescent="0.25">
      <c r="A118" s="30">
        <v>40786</v>
      </c>
      <c r="B118" s="31">
        <v>0.107866401747114</v>
      </c>
      <c r="C118" s="32">
        <v>3980.1242472200001</v>
      </c>
      <c r="D118" s="33"/>
      <c r="E118" s="33"/>
      <c r="F118" s="31">
        <v>0.118959310143835</v>
      </c>
      <c r="G118" s="32">
        <v>1076.37066471</v>
      </c>
      <c r="H118" s="33"/>
      <c r="I118" s="33"/>
      <c r="J118" s="31">
        <v>0.136859403389161</v>
      </c>
      <c r="K118" s="32">
        <v>21.468121020000002</v>
      </c>
      <c r="L118" s="31">
        <v>0.110152273195446</v>
      </c>
      <c r="M118" s="34">
        <v>5124.1850289499998</v>
      </c>
    </row>
    <row r="119" spans="1:13" x14ac:dyDescent="0.25">
      <c r="A119" s="25">
        <v>40816</v>
      </c>
      <c r="B119" s="26">
        <v>0.109232883202698</v>
      </c>
      <c r="C119" s="27">
        <v>3395.2364860299999</v>
      </c>
      <c r="D119" s="28"/>
      <c r="E119" s="28"/>
      <c r="F119" s="26">
        <v>0.11983431897808</v>
      </c>
      <c r="G119" s="27">
        <v>974.3005574</v>
      </c>
      <c r="H119" s="28"/>
      <c r="I119" s="28"/>
      <c r="J119" s="26">
        <v>0.13505256295366699</v>
      </c>
      <c r="K119" s="27">
        <v>15.23551524</v>
      </c>
      <c r="L119" s="26">
        <v>0.11167051205693899</v>
      </c>
      <c r="M119" s="29">
        <v>4398.6990536699996</v>
      </c>
    </row>
    <row r="120" spans="1:13" x14ac:dyDescent="0.25">
      <c r="A120" s="30">
        <v>40847</v>
      </c>
      <c r="B120" s="31">
        <v>0.111317397912182</v>
      </c>
      <c r="C120" s="32">
        <v>3145.1165452</v>
      </c>
      <c r="D120" s="33"/>
      <c r="E120" s="33"/>
      <c r="F120" s="31">
        <v>0.123182122354866</v>
      </c>
      <c r="G120" s="32">
        <v>781.72439765000001</v>
      </c>
      <c r="H120" s="33"/>
      <c r="I120" s="33"/>
      <c r="J120" s="31">
        <v>0.15160888554966201</v>
      </c>
      <c r="K120" s="32">
        <v>7.6831493399999999</v>
      </c>
      <c r="L120" s="31">
        <v>0.113631434786061</v>
      </c>
      <c r="M120" s="34">
        <v>3965.1372471899999</v>
      </c>
    </row>
    <row r="121" spans="1:13" x14ac:dyDescent="0.25">
      <c r="A121" s="25">
        <v>40877</v>
      </c>
      <c r="B121" s="26">
        <v>0.11439925626988599</v>
      </c>
      <c r="C121" s="27">
        <v>4095.4955579100001</v>
      </c>
      <c r="D121" s="28"/>
      <c r="E121" s="28"/>
      <c r="F121" s="26">
        <v>0.120552152715917</v>
      </c>
      <c r="G121" s="27">
        <v>1271.4789544299999</v>
      </c>
      <c r="H121" s="28"/>
      <c r="I121" s="28"/>
      <c r="J121" s="26">
        <v>0.149815203461272</v>
      </c>
      <c r="K121" s="27">
        <v>20.200846819999999</v>
      </c>
      <c r="L121" s="26">
        <v>0.11582285259206999</v>
      </c>
      <c r="M121" s="29">
        <v>5429.6599021599995</v>
      </c>
    </row>
    <row r="122" spans="1:13" x14ac:dyDescent="0.25">
      <c r="A122" s="30">
        <v>40908</v>
      </c>
      <c r="B122" s="31">
        <v>0.113358965565381</v>
      </c>
      <c r="C122" s="32">
        <v>4363.6278092599996</v>
      </c>
      <c r="D122" s="33"/>
      <c r="E122" s="33"/>
      <c r="F122" s="31">
        <v>0.126922235871297</v>
      </c>
      <c r="G122" s="32">
        <v>1041.9718400300001</v>
      </c>
      <c r="H122" s="33"/>
      <c r="I122" s="33"/>
      <c r="J122" s="31">
        <v>0.153387093335002</v>
      </c>
      <c r="K122" s="32">
        <v>11.80348448</v>
      </c>
      <c r="L122" s="31">
        <v>0.115993238038943</v>
      </c>
      <c r="M122" s="34">
        <v>5439.3485207699996</v>
      </c>
    </row>
    <row r="123" spans="1:13" x14ac:dyDescent="0.25">
      <c r="A123" s="25">
        <v>40939</v>
      </c>
      <c r="B123" s="26">
        <v>0.11800492269130999</v>
      </c>
      <c r="C123" s="27">
        <v>2560.8015528599999</v>
      </c>
      <c r="D123" s="28"/>
      <c r="E123" s="28"/>
      <c r="F123" s="26">
        <v>0.13409093492573701</v>
      </c>
      <c r="G123" s="27">
        <v>595.30141338999999</v>
      </c>
      <c r="H123" s="28"/>
      <c r="I123" s="28"/>
      <c r="J123" s="26">
        <v>0.163807077025095</v>
      </c>
      <c r="K123" s="27">
        <v>5.85295247</v>
      </c>
      <c r="L123" s="26">
        <v>0.12106611138655</v>
      </c>
      <c r="M123" s="29">
        <v>3170.7464387199998</v>
      </c>
    </row>
    <row r="124" spans="1:13" x14ac:dyDescent="0.25">
      <c r="A124" s="30">
        <v>40968</v>
      </c>
      <c r="B124" s="31">
        <v>0.11857053618840099</v>
      </c>
      <c r="C124" s="32">
        <v>4234.85141699</v>
      </c>
      <c r="D124" s="33"/>
      <c r="E124" s="33"/>
      <c r="F124" s="31">
        <v>0.12949152500434599</v>
      </c>
      <c r="G124" s="32">
        <v>1095.83062088</v>
      </c>
      <c r="H124" s="33"/>
      <c r="I124" s="33"/>
      <c r="J124" s="31">
        <v>0.14735214094877599</v>
      </c>
      <c r="K124" s="32">
        <v>17.73450059</v>
      </c>
      <c r="L124" s="31">
        <v>0.12068441749792901</v>
      </c>
      <c r="M124" s="34">
        <v>5397.0436674599996</v>
      </c>
    </row>
    <row r="125" spans="1:13" x14ac:dyDescent="0.25">
      <c r="A125" s="25">
        <v>40999</v>
      </c>
      <c r="B125" s="26">
        <v>0.11868759381655999</v>
      </c>
      <c r="C125" s="27">
        <v>3481.2849701499999</v>
      </c>
      <c r="D125" s="28"/>
      <c r="E125" s="28"/>
      <c r="F125" s="26">
        <v>0.13502819803923499</v>
      </c>
      <c r="G125" s="27">
        <v>824.20145328000001</v>
      </c>
      <c r="H125" s="28"/>
      <c r="I125" s="28"/>
      <c r="J125" s="26">
        <v>0.15566607937030599</v>
      </c>
      <c r="K125" s="27">
        <v>15.07403367</v>
      </c>
      <c r="L125" s="26">
        <v>0.12166596144366</v>
      </c>
      <c r="M125" s="29">
        <v>4366.0984761</v>
      </c>
    </row>
    <row r="126" spans="1:13" x14ac:dyDescent="0.25">
      <c r="A126" s="30">
        <v>41029</v>
      </c>
      <c r="B126" s="31">
        <v>0.120664069967838</v>
      </c>
      <c r="C126" s="32">
        <v>2967.9853583600002</v>
      </c>
      <c r="D126" s="33"/>
      <c r="E126" s="33"/>
      <c r="F126" s="31">
        <v>0.13718276636917201</v>
      </c>
      <c r="G126" s="32">
        <v>740.83889919000001</v>
      </c>
      <c r="H126" s="33"/>
      <c r="I126" s="33"/>
      <c r="J126" s="31">
        <v>0.14961684802740999</v>
      </c>
      <c r="K126" s="32">
        <v>14.67987523</v>
      </c>
      <c r="L126" s="31">
        <v>0.123927673242076</v>
      </c>
      <c r="M126" s="34">
        <v>3746.9330167799999</v>
      </c>
    </row>
    <row r="127" spans="1:13" x14ac:dyDescent="0.25">
      <c r="A127" s="25">
        <v>41060</v>
      </c>
      <c r="B127" s="26">
        <v>0.119659161848609</v>
      </c>
      <c r="C127" s="27">
        <v>4149.3684086200001</v>
      </c>
      <c r="D127" s="28"/>
      <c r="E127" s="28"/>
      <c r="F127" s="26">
        <v>0.13012925740886699</v>
      </c>
      <c r="G127" s="27">
        <v>1250.1216935099999</v>
      </c>
      <c r="H127" s="28"/>
      <c r="I127" s="28"/>
      <c r="J127" s="26">
        <v>0.15727993840537099</v>
      </c>
      <c r="K127" s="27">
        <v>17.336815179999999</v>
      </c>
      <c r="L127" s="26">
        <v>0.122043776244948</v>
      </c>
      <c r="M127" s="29">
        <v>5452.7492053100004</v>
      </c>
    </row>
    <row r="128" spans="1:13" x14ac:dyDescent="0.25">
      <c r="A128" s="30">
        <v>41090</v>
      </c>
      <c r="B128" s="31">
        <v>0.119590122398944</v>
      </c>
      <c r="C128" s="32">
        <v>3697.3623543799999</v>
      </c>
      <c r="D128" s="33"/>
      <c r="E128" s="33"/>
      <c r="F128" s="31">
        <v>0.14081538827795301</v>
      </c>
      <c r="G128" s="32">
        <v>794.24665617000005</v>
      </c>
      <c r="H128" s="33"/>
      <c r="I128" s="33"/>
      <c r="J128" s="31">
        <v>0.153863517859159</v>
      </c>
      <c r="K128" s="32">
        <v>14.06434535</v>
      </c>
      <c r="L128" s="31">
        <v>0.12330189873351401</v>
      </c>
      <c r="M128" s="34">
        <v>4540.1090049000004</v>
      </c>
    </row>
    <row r="129" spans="1:13" x14ac:dyDescent="0.25">
      <c r="A129" s="25">
        <v>41121</v>
      </c>
      <c r="B129" s="26">
        <v>0.11917937692974</v>
      </c>
      <c r="C129" s="27">
        <v>3192.3880370299999</v>
      </c>
      <c r="D129" s="28"/>
      <c r="E129" s="28"/>
      <c r="F129" s="26">
        <v>0.138578256057905</v>
      </c>
      <c r="G129" s="27">
        <v>752.91795191000006</v>
      </c>
      <c r="H129" s="28"/>
      <c r="I129" s="28"/>
      <c r="J129" s="26">
        <v>0.16326796508226499</v>
      </c>
      <c r="K129" s="27">
        <v>10.56815641</v>
      </c>
      <c r="L129" s="26">
        <v>0.122862488201976</v>
      </c>
      <c r="M129" s="29">
        <v>3983.7633703500001</v>
      </c>
    </row>
    <row r="130" spans="1:13" x14ac:dyDescent="0.25">
      <c r="A130" s="30">
        <v>41152</v>
      </c>
      <c r="B130" s="31">
        <v>0.121004791639185</v>
      </c>
      <c r="C130" s="32">
        <v>4493.9862948099999</v>
      </c>
      <c r="D130" s="33"/>
      <c r="E130" s="33"/>
      <c r="F130" s="31">
        <v>0.137362398677603</v>
      </c>
      <c r="G130" s="32">
        <v>1020.04737876</v>
      </c>
      <c r="H130" s="33"/>
      <c r="I130" s="33"/>
      <c r="J130" s="31">
        <v>0.15542577100677399</v>
      </c>
      <c r="K130" s="32">
        <v>10.35692147</v>
      </c>
      <c r="L130" s="31">
        <v>0.12390706088072</v>
      </c>
      <c r="M130" s="34">
        <v>5568.58623704</v>
      </c>
    </row>
    <row r="131" spans="1:13" x14ac:dyDescent="0.25">
      <c r="A131" s="25">
        <v>41182</v>
      </c>
      <c r="B131" s="26">
        <v>0.11562203225603</v>
      </c>
      <c r="C131" s="27">
        <v>4751.4133636799997</v>
      </c>
      <c r="D131" s="28"/>
      <c r="E131" s="28"/>
      <c r="F131" s="26">
        <v>0.137819020955018</v>
      </c>
      <c r="G131" s="27">
        <v>887.86177378000002</v>
      </c>
      <c r="H131" s="28"/>
      <c r="I131" s="28"/>
      <c r="J131" s="26">
        <v>0.15364973724314901</v>
      </c>
      <c r="K131" s="27">
        <v>13.83176518</v>
      </c>
      <c r="L131" s="26">
        <v>0.119074376766337</v>
      </c>
      <c r="M131" s="29">
        <v>5688.6243846400002</v>
      </c>
    </row>
    <row r="132" spans="1:13" x14ac:dyDescent="0.25">
      <c r="A132" s="30">
        <v>41213</v>
      </c>
      <c r="B132" s="31">
        <v>0.118635963803446</v>
      </c>
      <c r="C132" s="32">
        <v>4630.1161786100001</v>
      </c>
      <c r="D132" s="33"/>
      <c r="E132" s="33"/>
      <c r="F132" s="31">
        <v>0.13285319579122301</v>
      </c>
      <c r="G132" s="32">
        <v>1172.1752553399999</v>
      </c>
      <c r="H132" s="33"/>
      <c r="I132" s="33"/>
      <c r="J132" s="31">
        <v>0.15352347286283399</v>
      </c>
      <c r="K132" s="32">
        <v>13.70776798</v>
      </c>
      <c r="L132" s="31">
        <v>0.121408616577468</v>
      </c>
      <c r="M132" s="34">
        <v>5860.0804649299998</v>
      </c>
    </row>
    <row r="133" spans="1:13" x14ac:dyDescent="0.25">
      <c r="A133" s="25">
        <v>41243</v>
      </c>
      <c r="B133" s="26">
        <v>0.11799538611395601</v>
      </c>
      <c r="C133" s="27">
        <v>4035.4579538600001</v>
      </c>
      <c r="D133" s="28"/>
      <c r="E133" s="28"/>
      <c r="F133" s="26">
        <v>0.13460485710210099</v>
      </c>
      <c r="G133" s="27">
        <v>906.68610325999998</v>
      </c>
      <c r="H133" s="28"/>
      <c r="I133" s="28"/>
      <c r="J133" s="26">
        <v>0.157782443835466</v>
      </c>
      <c r="K133" s="27">
        <v>15.32449853</v>
      </c>
      <c r="L133" s="26">
        <v>0.12093151561975</v>
      </c>
      <c r="M133" s="29">
        <v>5007.0730606500001</v>
      </c>
    </row>
    <row r="134" spans="1:13" x14ac:dyDescent="0.25">
      <c r="A134" s="30">
        <v>41274</v>
      </c>
      <c r="B134" s="31">
        <v>0.114327168031769</v>
      </c>
      <c r="C134" s="32">
        <v>4952.1643616000001</v>
      </c>
      <c r="D134" s="33"/>
      <c r="E134" s="33"/>
      <c r="F134" s="31">
        <v>0.12817326086769301</v>
      </c>
      <c r="G134" s="32">
        <v>1153.6950875499999</v>
      </c>
      <c r="H134" s="33"/>
      <c r="I134" s="33"/>
      <c r="J134" s="31">
        <v>0.15872018709461599</v>
      </c>
      <c r="K134" s="32">
        <v>15.283637450000001</v>
      </c>
      <c r="L134" s="31">
        <v>0.11690779591361</v>
      </c>
      <c r="M134" s="34">
        <v>6160.1925066000003</v>
      </c>
    </row>
    <row r="135" spans="1:13" x14ac:dyDescent="0.25">
      <c r="A135" s="25">
        <v>41305</v>
      </c>
      <c r="B135" s="26">
        <v>0.113317008119192</v>
      </c>
      <c r="C135" s="27">
        <v>3652.2329771300001</v>
      </c>
      <c r="D135" s="28"/>
      <c r="E135" s="28"/>
      <c r="F135" s="26">
        <v>0.13431862721353399</v>
      </c>
      <c r="G135" s="27">
        <v>759.77178364999997</v>
      </c>
      <c r="H135" s="28"/>
      <c r="I135" s="28"/>
      <c r="J135" s="26">
        <v>0.15969983442638999</v>
      </c>
      <c r="K135" s="27">
        <v>5.5527376400000001</v>
      </c>
      <c r="L135" s="26">
        <v>0.116900460557972</v>
      </c>
      <c r="M135" s="29">
        <v>4443.6278754200002</v>
      </c>
    </row>
    <row r="136" spans="1:13" x14ac:dyDescent="0.25">
      <c r="A136" s="30">
        <v>41333</v>
      </c>
      <c r="B136" s="31">
        <v>0.108809317045233</v>
      </c>
      <c r="C136" s="32">
        <v>4116.9584965499998</v>
      </c>
      <c r="D136" s="33"/>
      <c r="E136" s="33"/>
      <c r="F136" s="31">
        <v>0.133513479412527</v>
      </c>
      <c r="G136" s="32">
        <v>734.67094727000006</v>
      </c>
      <c r="H136" s="33"/>
      <c r="I136" s="33"/>
      <c r="J136" s="31">
        <v>0.141717356742152</v>
      </c>
      <c r="K136" s="32">
        <v>8.1835327000000007</v>
      </c>
      <c r="L136" s="31">
        <v>0.112435253978532</v>
      </c>
      <c r="M136" s="34">
        <v>4898.1874835199997</v>
      </c>
    </row>
    <row r="137" spans="1:13" x14ac:dyDescent="0.25">
      <c r="A137" s="25">
        <v>41364</v>
      </c>
      <c r="B137" s="26">
        <v>0.10844026490274999</v>
      </c>
      <c r="C137" s="27">
        <v>3295.9374018899998</v>
      </c>
      <c r="D137" s="28"/>
      <c r="E137" s="28"/>
      <c r="F137" s="26">
        <v>0.13188730051396599</v>
      </c>
      <c r="G137" s="27">
        <v>686.84186758999999</v>
      </c>
      <c r="H137" s="28"/>
      <c r="I137" s="28"/>
      <c r="J137" s="26">
        <v>0.148386125342718</v>
      </c>
      <c r="K137" s="27">
        <v>8.3019407899999997</v>
      </c>
      <c r="L137" s="26">
        <v>0.112415619808149</v>
      </c>
      <c r="M137" s="29">
        <v>4021.6592882700002</v>
      </c>
    </row>
    <row r="138" spans="1:13" x14ac:dyDescent="0.25">
      <c r="A138" s="30">
        <v>41394</v>
      </c>
      <c r="B138" s="31">
        <v>0.10312121471633701</v>
      </c>
      <c r="C138" s="32">
        <v>3750.87284365</v>
      </c>
      <c r="D138" s="33"/>
      <c r="E138" s="33"/>
      <c r="F138" s="31">
        <v>0.130976932161538</v>
      </c>
      <c r="G138" s="32">
        <v>786.16729506000001</v>
      </c>
      <c r="H138" s="33"/>
      <c r="I138" s="33"/>
      <c r="J138" s="31">
        <v>0.15378887325770699</v>
      </c>
      <c r="K138" s="32">
        <v>3.71231219</v>
      </c>
      <c r="L138" s="31">
        <v>0.10774034339539</v>
      </c>
      <c r="M138" s="34">
        <v>4597.1719778999995</v>
      </c>
    </row>
    <row r="139" spans="1:13" x14ac:dyDescent="0.25">
      <c r="A139" s="25">
        <v>41425</v>
      </c>
      <c r="B139" s="26">
        <v>9.8038010995083802E-2</v>
      </c>
      <c r="C139" s="27">
        <v>5132.0780703500004</v>
      </c>
      <c r="D139" s="28"/>
      <c r="E139" s="28"/>
      <c r="F139" s="26">
        <v>0.124910353765735</v>
      </c>
      <c r="G139" s="27">
        <v>1116.6786228999999</v>
      </c>
      <c r="H139" s="28"/>
      <c r="I139" s="28"/>
      <c r="J139" s="26">
        <v>0.13496485700636701</v>
      </c>
      <c r="K139" s="27">
        <v>8.8227970100000004</v>
      </c>
      <c r="L139" s="26">
        <v>0.102790117391045</v>
      </c>
      <c r="M139" s="29">
        <v>6297.7935992599996</v>
      </c>
    </row>
    <row r="140" spans="1:13" x14ac:dyDescent="0.25">
      <c r="A140" s="30">
        <v>41455</v>
      </c>
      <c r="B140" s="31">
        <v>9.7151255957119195E-2</v>
      </c>
      <c r="C140" s="32">
        <v>4453.3123357499999</v>
      </c>
      <c r="D140" s="31">
        <v>6.8193749999999997E-2</v>
      </c>
      <c r="E140" s="32">
        <v>32</v>
      </c>
      <c r="F140" s="31">
        <v>0.122286547767326</v>
      </c>
      <c r="G140" s="32">
        <v>947.56793714000003</v>
      </c>
      <c r="H140" s="33"/>
      <c r="I140" s="33"/>
      <c r="J140" s="31">
        <v>0.13176426563573301</v>
      </c>
      <c r="K140" s="32">
        <v>11.51370234</v>
      </c>
      <c r="L140" s="31">
        <v>0.10132056008935</v>
      </c>
      <c r="M140" s="34">
        <v>5479.2126712299996</v>
      </c>
    </row>
    <row r="141" spans="1:13" x14ac:dyDescent="0.25">
      <c r="A141" s="25">
        <v>41486</v>
      </c>
      <c r="B141" s="26">
        <v>0.10165965162593001</v>
      </c>
      <c r="C141" s="27">
        <v>4463.1155851200001</v>
      </c>
      <c r="D141" s="26">
        <v>7.3700000000000002E-2</v>
      </c>
      <c r="E141" s="27">
        <v>0.3</v>
      </c>
      <c r="F141" s="26">
        <v>0.12388716818267199</v>
      </c>
      <c r="G141" s="27">
        <v>844.20413307000001</v>
      </c>
      <c r="H141" s="28"/>
      <c r="I141" s="28"/>
      <c r="J141" s="26">
        <v>0.12721117162387299</v>
      </c>
      <c r="K141" s="27">
        <v>8.8149629800000007</v>
      </c>
      <c r="L141" s="26">
        <v>0.105166493543221</v>
      </c>
      <c r="M141" s="29">
        <v>5348.8167711699998</v>
      </c>
    </row>
    <row r="142" spans="1:13" x14ac:dyDescent="0.25">
      <c r="A142" s="30">
        <v>41517</v>
      </c>
      <c r="B142" s="31">
        <v>0.10452892761834701</v>
      </c>
      <c r="C142" s="32">
        <v>3369.2437871699999</v>
      </c>
      <c r="D142" s="31">
        <v>7.15192052980132E-2</v>
      </c>
      <c r="E142" s="32">
        <v>7.55</v>
      </c>
      <c r="F142" s="31">
        <v>0.121848013959833</v>
      </c>
      <c r="G142" s="32">
        <v>851.74466065000001</v>
      </c>
      <c r="H142" s="31">
        <v>8.2500000000000004E-2</v>
      </c>
      <c r="I142" s="32">
        <v>90</v>
      </c>
      <c r="J142" s="31">
        <v>0.13335723764676699</v>
      </c>
      <c r="K142" s="32">
        <v>9.7249485300000007</v>
      </c>
      <c r="L142" s="31">
        <v>0.107315130510811</v>
      </c>
      <c r="M142" s="34">
        <v>4361.1198553499999</v>
      </c>
    </row>
    <row r="143" spans="1:13" x14ac:dyDescent="0.25">
      <c r="A143" s="25">
        <v>41547</v>
      </c>
      <c r="B143" s="26">
        <v>0.104523374255705</v>
      </c>
      <c r="C143" s="27">
        <v>3775.5272651300002</v>
      </c>
      <c r="D143" s="26">
        <v>8.1241417910447797E-2</v>
      </c>
      <c r="E143" s="27">
        <v>26.8</v>
      </c>
      <c r="F143" s="26">
        <v>0.125698812721769</v>
      </c>
      <c r="G143" s="27">
        <v>815.97001145000002</v>
      </c>
      <c r="H143" s="28"/>
      <c r="I143" s="28"/>
      <c r="J143" s="26">
        <v>0.12937069671013199</v>
      </c>
      <c r="K143" s="27">
        <v>13.95656936</v>
      </c>
      <c r="L143" s="26">
        <v>0.108155789655137</v>
      </c>
      <c r="M143" s="29">
        <v>4639.1298439399998</v>
      </c>
    </row>
    <row r="144" spans="1:13" x14ac:dyDescent="0.25">
      <c r="A144" s="30">
        <v>41578</v>
      </c>
      <c r="B144" s="31">
        <v>0.103456495932735</v>
      </c>
      <c r="C144" s="32">
        <v>4683.3167975099996</v>
      </c>
      <c r="D144" s="31">
        <v>7.1986209644738897E-2</v>
      </c>
      <c r="E144" s="32">
        <v>1.1807156299999999</v>
      </c>
      <c r="F144" s="31">
        <v>0.119428584979552</v>
      </c>
      <c r="G144" s="32">
        <v>1261.3052914499999</v>
      </c>
      <c r="H144" s="33"/>
      <c r="I144" s="33"/>
      <c r="J144" s="31">
        <v>0.124540744532971</v>
      </c>
      <c r="K144" s="32">
        <v>13.0402053</v>
      </c>
      <c r="L144" s="31">
        <v>0.106877204599011</v>
      </c>
      <c r="M144" s="34">
        <v>5958.8430098899998</v>
      </c>
    </row>
    <row r="145" spans="1:13" x14ac:dyDescent="0.25">
      <c r="A145" s="25">
        <v>41608</v>
      </c>
      <c r="B145" s="26">
        <v>0.101498402543421</v>
      </c>
      <c r="C145" s="27">
        <v>3898.4461843399999</v>
      </c>
      <c r="D145" s="28"/>
      <c r="E145" s="28"/>
      <c r="F145" s="26">
        <v>0.124860699264389</v>
      </c>
      <c r="G145" s="27">
        <v>887.0460703</v>
      </c>
      <c r="H145" s="28"/>
      <c r="I145" s="28"/>
      <c r="J145" s="26">
        <v>0.12601005478543401</v>
      </c>
      <c r="K145" s="27">
        <v>5.7758004700000001</v>
      </c>
      <c r="L145" s="26">
        <v>0.105853201248798</v>
      </c>
      <c r="M145" s="29">
        <v>4791.2680551100002</v>
      </c>
    </row>
    <row r="146" spans="1:13" x14ac:dyDescent="0.25">
      <c r="A146" s="30">
        <v>41639</v>
      </c>
      <c r="B146" s="31">
        <v>9.8442337935146201E-2</v>
      </c>
      <c r="C146" s="32">
        <v>5438.6200951199999</v>
      </c>
      <c r="D146" s="31">
        <v>7.4542300270166006E-2</v>
      </c>
      <c r="E146" s="32">
        <v>12.4368</v>
      </c>
      <c r="F146" s="31">
        <v>0.117937320516269</v>
      </c>
      <c r="G146" s="32">
        <v>1393.16532927</v>
      </c>
      <c r="H146" s="33"/>
      <c r="I146" s="33"/>
      <c r="J146" s="31">
        <v>0.13525160917842299</v>
      </c>
      <c r="K146" s="32">
        <v>15.21434788</v>
      </c>
      <c r="L146" s="31">
        <v>0.102440118616313</v>
      </c>
      <c r="M146" s="34">
        <v>6859.4365722700004</v>
      </c>
    </row>
    <row r="147" spans="1:13" x14ac:dyDescent="0.25">
      <c r="A147" s="25">
        <v>41670</v>
      </c>
      <c r="B147" s="26">
        <v>0.10354067201455899</v>
      </c>
      <c r="C147" s="27">
        <v>3096.7492942099998</v>
      </c>
      <c r="D147" s="28"/>
      <c r="E147" s="28"/>
      <c r="F147" s="26">
        <v>0.124110011806235</v>
      </c>
      <c r="G147" s="27">
        <v>724.77378066000006</v>
      </c>
      <c r="H147" s="28"/>
      <c r="I147" s="28"/>
      <c r="J147" s="26">
        <v>0.13377580674653899</v>
      </c>
      <c r="K147" s="27">
        <v>5.91727749</v>
      </c>
      <c r="L147" s="26">
        <v>0.107482478130661</v>
      </c>
      <c r="M147" s="29">
        <v>3827.4403523599999</v>
      </c>
    </row>
    <row r="148" spans="1:13" x14ac:dyDescent="0.25">
      <c r="A148" s="30">
        <v>41698</v>
      </c>
      <c r="B148" s="31">
        <v>9.8614452793962804E-2</v>
      </c>
      <c r="C148" s="32">
        <v>4356.5605538899999</v>
      </c>
      <c r="D148" s="31">
        <v>7.3414598992843499E-2</v>
      </c>
      <c r="E148" s="32">
        <v>34.021524999999997</v>
      </c>
      <c r="F148" s="31">
        <v>0.12391021858807599</v>
      </c>
      <c r="G148" s="32">
        <v>859.00890312000001</v>
      </c>
      <c r="H148" s="33"/>
      <c r="I148" s="33"/>
      <c r="J148" s="31">
        <v>0.13436969975132901</v>
      </c>
      <c r="K148" s="32">
        <v>7.2327391900000002</v>
      </c>
      <c r="L148" s="31">
        <v>0.102634096626104</v>
      </c>
      <c r="M148" s="34">
        <v>5256.8237212000004</v>
      </c>
    </row>
    <row r="149" spans="1:13" x14ac:dyDescent="0.25">
      <c r="A149" s="25">
        <v>41729</v>
      </c>
      <c r="B149" s="26">
        <v>0.101105368090115</v>
      </c>
      <c r="C149" s="27">
        <v>3646.4526466100001</v>
      </c>
      <c r="D149" s="26">
        <v>4.41E-2</v>
      </c>
      <c r="E149" s="27">
        <v>32</v>
      </c>
      <c r="F149" s="26">
        <v>0.12310133692417299</v>
      </c>
      <c r="G149" s="27">
        <v>857.25812753000002</v>
      </c>
      <c r="H149" s="28"/>
      <c r="I149" s="28"/>
      <c r="J149" s="26">
        <v>0.14620028309410399</v>
      </c>
      <c r="K149" s="27">
        <v>7.05601974</v>
      </c>
      <c r="L149" s="26">
        <v>0.104924679694354</v>
      </c>
      <c r="M149" s="29">
        <v>4542.7667938799996</v>
      </c>
    </row>
    <row r="150" spans="1:13" x14ac:dyDescent="0.25">
      <c r="A150" s="30">
        <v>41759</v>
      </c>
      <c r="B150" s="31">
        <v>0.10066279344890899</v>
      </c>
      <c r="C150" s="32">
        <v>4583.1661544099998</v>
      </c>
      <c r="D150" s="31">
        <v>7.4159021576310796E-2</v>
      </c>
      <c r="E150" s="32">
        <v>5.7705880000000001</v>
      </c>
      <c r="F150" s="31">
        <v>0.121237059021212</v>
      </c>
      <c r="G150" s="32">
        <v>1204.45495962</v>
      </c>
      <c r="H150" s="33"/>
      <c r="I150" s="33"/>
      <c r="J150" s="31">
        <v>0.13977112673496001</v>
      </c>
      <c r="K150" s="32">
        <v>10.06089051</v>
      </c>
      <c r="L150" s="31">
        <v>0.10497424392773599</v>
      </c>
      <c r="M150" s="34">
        <v>5803.4525925400003</v>
      </c>
    </row>
    <row r="151" spans="1:13" x14ac:dyDescent="0.25">
      <c r="A151" s="25">
        <v>41790</v>
      </c>
      <c r="B151" s="26">
        <v>0.100436343514248</v>
      </c>
      <c r="C151" s="27">
        <v>4212.5083229600004</v>
      </c>
      <c r="D151" s="28"/>
      <c r="E151" s="28"/>
      <c r="F151" s="26">
        <v>0.123471110143431</v>
      </c>
      <c r="G151" s="27">
        <v>980.48830598999996</v>
      </c>
      <c r="H151" s="28"/>
      <c r="I151" s="28"/>
      <c r="J151" s="26">
        <v>0.134042038093621</v>
      </c>
      <c r="K151" s="27">
        <v>9.9924790800000007</v>
      </c>
      <c r="L151" s="26">
        <v>0.104841719539277</v>
      </c>
      <c r="M151" s="29">
        <v>5202.9891080300004</v>
      </c>
    </row>
    <row r="152" spans="1:13" x14ac:dyDescent="0.25">
      <c r="A152" s="30">
        <v>41820</v>
      </c>
      <c r="B152" s="31">
        <v>0.10059955412957899</v>
      </c>
      <c r="C152" s="32">
        <v>4044.7192209499999</v>
      </c>
      <c r="D152" s="33"/>
      <c r="E152" s="33"/>
      <c r="F152" s="31">
        <v>0.12017740631936</v>
      </c>
      <c r="G152" s="32">
        <v>1006.20477098</v>
      </c>
      <c r="H152" s="33"/>
      <c r="I152" s="33"/>
      <c r="J152" s="31">
        <v>0.143296837616185</v>
      </c>
      <c r="K152" s="32">
        <v>10.781870919999999</v>
      </c>
      <c r="L152" s="31">
        <v>0.104582338890033</v>
      </c>
      <c r="M152" s="34">
        <v>5061.7058628499999</v>
      </c>
    </row>
    <row r="153" spans="1:13" x14ac:dyDescent="0.25">
      <c r="A153" s="25">
        <v>41851</v>
      </c>
      <c r="B153" s="26">
        <v>0.104363716272953</v>
      </c>
      <c r="C153" s="27">
        <v>4364.98134734</v>
      </c>
      <c r="D153" s="26">
        <v>8.6164765100671101E-2</v>
      </c>
      <c r="E153" s="27">
        <v>5.96</v>
      </c>
      <c r="F153" s="26">
        <v>0.121268483989859</v>
      </c>
      <c r="G153" s="27">
        <v>1270.32659543</v>
      </c>
      <c r="H153" s="28"/>
      <c r="I153" s="28"/>
      <c r="J153" s="26">
        <v>0.13103862895866</v>
      </c>
      <c r="K153" s="27">
        <v>15.37544314</v>
      </c>
      <c r="L153" s="26">
        <v>0.10821339309366899</v>
      </c>
      <c r="M153" s="29">
        <v>5656.6433859099998</v>
      </c>
    </row>
    <row r="154" spans="1:13" x14ac:dyDescent="0.25">
      <c r="A154" s="30">
        <v>41882</v>
      </c>
      <c r="B154" s="31">
        <v>0.103713647078537</v>
      </c>
      <c r="C154" s="32">
        <v>3686.3588597799999</v>
      </c>
      <c r="D154" s="31">
        <v>8.9399999999999993E-2</v>
      </c>
      <c r="E154" s="32">
        <v>0.96</v>
      </c>
      <c r="F154" s="31">
        <v>0.119638878303887</v>
      </c>
      <c r="G154" s="32">
        <v>1079.2392278100001</v>
      </c>
      <c r="H154" s="33"/>
      <c r="I154" s="33"/>
      <c r="J154" s="31">
        <v>0.14415587829884799</v>
      </c>
      <c r="K154" s="32">
        <v>7.5609831700000001</v>
      </c>
      <c r="L154" s="31">
        <v>0.107374882999575</v>
      </c>
      <c r="M154" s="34">
        <v>4774.1190707599999</v>
      </c>
    </row>
    <row r="155" spans="1:13" x14ac:dyDescent="0.25">
      <c r="A155" s="25">
        <v>41912</v>
      </c>
      <c r="B155" s="26">
        <v>0.106200613602279</v>
      </c>
      <c r="C155" s="27">
        <v>3541.7655538099998</v>
      </c>
      <c r="D155" s="26">
        <v>6.0299999999999999E-2</v>
      </c>
      <c r="E155" s="27">
        <v>1.879176</v>
      </c>
      <c r="F155" s="26">
        <v>0.120503470722764</v>
      </c>
      <c r="G155" s="27">
        <v>959.34189068000001</v>
      </c>
      <c r="H155" s="28"/>
      <c r="I155" s="28"/>
      <c r="J155" s="26">
        <v>0.13505755850538501</v>
      </c>
      <c r="K155" s="27">
        <v>11.23016354</v>
      </c>
      <c r="L155" s="26">
        <v>0.109292876008117</v>
      </c>
      <c r="M155" s="29">
        <v>4514.2167840299999</v>
      </c>
    </row>
    <row r="156" spans="1:13" x14ac:dyDescent="0.25">
      <c r="A156" s="30">
        <v>41943</v>
      </c>
      <c r="B156" s="31">
        <v>0.106936205672194</v>
      </c>
      <c r="C156" s="32">
        <v>5145.8217721999999</v>
      </c>
      <c r="D156" s="31">
        <v>7.4462873134328394E-2</v>
      </c>
      <c r="E156" s="32">
        <v>10.72</v>
      </c>
      <c r="F156" s="31">
        <v>0.12406470806507899</v>
      </c>
      <c r="G156" s="32">
        <v>1074.41490707</v>
      </c>
      <c r="H156" s="33"/>
      <c r="I156" s="33"/>
      <c r="J156" s="31">
        <v>0.13396835862588499</v>
      </c>
      <c r="K156" s="32">
        <v>14.627491210000001</v>
      </c>
      <c r="L156" s="31">
        <v>0.109890359562649</v>
      </c>
      <c r="M156" s="34">
        <v>6245.5841704799996</v>
      </c>
    </row>
    <row r="157" spans="1:13" x14ac:dyDescent="0.25">
      <c r="A157" s="25">
        <v>41973</v>
      </c>
      <c r="B157" s="26">
        <v>0.106808777976743</v>
      </c>
      <c r="C157" s="27">
        <v>4236.1506452100002</v>
      </c>
      <c r="D157" s="26">
        <v>7.2573834476733198E-2</v>
      </c>
      <c r="E157" s="27">
        <v>76.934103379999996</v>
      </c>
      <c r="F157" s="26">
        <v>0.12650154892124801</v>
      </c>
      <c r="G157" s="27">
        <v>721.63314198</v>
      </c>
      <c r="H157" s="28"/>
      <c r="I157" s="28"/>
      <c r="J157" s="26">
        <v>0.128159806947895</v>
      </c>
      <c r="K157" s="27">
        <v>10.44704829</v>
      </c>
      <c r="L157" s="26">
        <v>0.109147685983794</v>
      </c>
      <c r="M157" s="29">
        <v>5045.1649388599999</v>
      </c>
    </row>
    <row r="158" spans="1:13" x14ac:dyDescent="0.25">
      <c r="A158" s="30">
        <v>42004</v>
      </c>
      <c r="B158" s="31">
        <v>0.103650176283462</v>
      </c>
      <c r="C158" s="32">
        <v>6145.22688182</v>
      </c>
      <c r="D158" s="31">
        <v>6.3403504779244405E-2</v>
      </c>
      <c r="E158" s="32">
        <v>43.94</v>
      </c>
      <c r="F158" s="31">
        <v>0.122255416390411</v>
      </c>
      <c r="G158" s="32">
        <v>988.80204475000005</v>
      </c>
      <c r="H158" s="33"/>
      <c r="I158" s="33"/>
      <c r="J158" s="31">
        <v>0.119239806630246</v>
      </c>
      <c r="K158" s="32">
        <v>17.801031049999999</v>
      </c>
      <c r="L158" s="31">
        <v>0.105999608276709</v>
      </c>
      <c r="M158" s="34">
        <v>7195.7699576200002</v>
      </c>
    </row>
    <row r="159" spans="1:13" x14ac:dyDescent="0.25">
      <c r="A159" s="25">
        <v>42035</v>
      </c>
      <c r="B159" s="26">
        <v>0.109349904887517</v>
      </c>
      <c r="C159" s="27">
        <v>3323.0003909699999</v>
      </c>
      <c r="D159" s="26">
        <v>5.8773684210526297E-2</v>
      </c>
      <c r="E159" s="27">
        <v>19</v>
      </c>
      <c r="F159" s="26">
        <v>0.13437568195953001</v>
      </c>
      <c r="G159" s="27">
        <v>412.63238192</v>
      </c>
      <c r="H159" s="28"/>
      <c r="I159" s="28"/>
      <c r="J159" s="26">
        <v>0.14402011186702299</v>
      </c>
      <c r="K159" s="27">
        <v>6.00377574</v>
      </c>
      <c r="L159" s="26">
        <v>0.11189565740686901</v>
      </c>
      <c r="M159" s="29">
        <v>3760.6365486300001</v>
      </c>
    </row>
    <row r="160" spans="1:13" x14ac:dyDescent="0.25">
      <c r="A160" s="30">
        <v>42063</v>
      </c>
      <c r="B160" s="31">
        <v>0.104652576004939</v>
      </c>
      <c r="C160" s="32">
        <v>4487.0199023300001</v>
      </c>
      <c r="D160" s="33"/>
      <c r="E160" s="33"/>
      <c r="F160" s="31">
        <v>0.13101175200776</v>
      </c>
      <c r="G160" s="32">
        <v>556.63140524000005</v>
      </c>
      <c r="H160" s="33"/>
      <c r="I160" s="33"/>
      <c r="J160" s="31">
        <v>0.138547063357115</v>
      </c>
      <c r="K160" s="32">
        <v>10.33119696</v>
      </c>
      <c r="L160" s="31">
        <v>0.10762498754439501</v>
      </c>
      <c r="M160" s="34">
        <v>5053.9825045300004</v>
      </c>
    </row>
    <row r="161" spans="1:13" x14ac:dyDescent="0.25">
      <c r="A161" s="25">
        <v>42094</v>
      </c>
      <c r="B161" s="26">
        <v>0.110251459616171</v>
      </c>
      <c r="C161" s="27">
        <v>3927.8720416299998</v>
      </c>
      <c r="D161" s="26">
        <v>6.4934357568446996E-2</v>
      </c>
      <c r="E161" s="27">
        <v>52.442449930000002</v>
      </c>
      <c r="F161" s="26">
        <v>0.12870099017095599</v>
      </c>
      <c r="G161" s="27">
        <v>490.10622246999998</v>
      </c>
      <c r="H161" s="28"/>
      <c r="I161" s="28"/>
      <c r="J161" s="26">
        <v>0.12817061496924001</v>
      </c>
      <c r="K161" s="27">
        <v>13.59767785</v>
      </c>
      <c r="L161" s="26">
        <v>0.111792342834727</v>
      </c>
      <c r="M161" s="29">
        <v>4484.0183918800003</v>
      </c>
    </row>
    <row r="162" spans="1:13" x14ac:dyDescent="0.25">
      <c r="A162" s="30">
        <v>42124</v>
      </c>
      <c r="B162" s="31">
        <v>0.10853392539873501</v>
      </c>
      <c r="C162" s="32">
        <v>5519.0854559700001</v>
      </c>
      <c r="D162" s="31">
        <v>5.9455732506993403E-2</v>
      </c>
      <c r="E162" s="32">
        <v>6.9315684299999996</v>
      </c>
      <c r="F162" s="31">
        <v>0.126999389995718</v>
      </c>
      <c r="G162" s="32">
        <v>750.00143476000005</v>
      </c>
      <c r="H162" s="33"/>
      <c r="I162" s="33"/>
      <c r="J162" s="31">
        <v>0.116797110208769</v>
      </c>
      <c r="K162" s="32">
        <v>18.93413348</v>
      </c>
      <c r="L162" s="31">
        <v>0.11070477453071401</v>
      </c>
      <c r="M162" s="34">
        <v>6294.9525926400001</v>
      </c>
    </row>
    <row r="163" spans="1:13" x14ac:dyDescent="0.25">
      <c r="A163" s="25">
        <v>42155</v>
      </c>
      <c r="B163" s="26">
        <v>0.10893510544136201</v>
      </c>
      <c r="C163" s="27">
        <v>4732.5756109699996</v>
      </c>
      <c r="D163" s="26">
        <v>7.2810494975809506E-2</v>
      </c>
      <c r="E163" s="27">
        <v>26.87</v>
      </c>
      <c r="F163" s="26">
        <v>0.12634149439819001</v>
      </c>
      <c r="G163" s="27">
        <v>606.93803233000006</v>
      </c>
      <c r="H163" s="28"/>
      <c r="I163" s="28"/>
      <c r="J163" s="26">
        <v>0.112146565914983</v>
      </c>
      <c r="K163" s="27">
        <v>16.682918430000001</v>
      </c>
      <c r="L163" s="26">
        <v>0.110727300953956</v>
      </c>
      <c r="M163" s="29">
        <v>5383.0665617300001</v>
      </c>
    </row>
    <row r="164" spans="1:13" x14ac:dyDescent="0.25">
      <c r="A164" s="30">
        <v>42185</v>
      </c>
      <c r="B164" s="31">
        <v>0.108605973137652</v>
      </c>
      <c r="C164" s="32">
        <v>4508.3098702999996</v>
      </c>
      <c r="D164" s="31">
        <v>6.7852893235533798E-2</v>
      </c>
      <c r="E164" s="32">
        <v>36.81</v>
      </c>
      <c r="F164" s="31">
        <v>0.13146572093831899</v>
      </c>
      <c r="G164" s="32">
        <v>545.13661456</v>
      </c>
      <c r="H164" s="33"/>
      <c r="I164" s="33"/>
      <c r="J164" s="31">
        <v>0.12980597268064401</v>
      </c>
      <c r="K164" s="32">
        <v>9.9591988899999997</v>
      </c>
      <c r="L164" s="31">
        <v>0.110796605926758</v>
      </c>
      <c r="M164" s="34">
        <v>5100.2156837499997</v>
      </c>
    </row>
    <row r="165" spans="1:13" x14ac:dyDescent="0.25">
      <c r="A165" s="25">
        <v>42216</v>
      </c>
      <c r="B165" s="26">
        <v>0.109246069993179</v>
      </c>
      <c r="C165" s="27">
        <v>5435.0995984499996</v>
      </c>
      <c r="D165" s="26">
        <v>6.9521390539962494E-2</v>
      </c>
      <c r="E165" s="27">
        <v>67.801000000000002</v>
      </c>
      <c r="F165" s="26">
        <v>0.12602140772857501</v>
      </c>
      <c r="G165" s="27">
        <v>733.11353795000002</v>
      </c>
      <c r="H165" s="28"/>
      <c r="I165" s="28"/>
      <c r="J165" s="26">
        <v>0.12448229396252899</v>
      </c>
      <c r="K165" s="27">
        <v>16.53158547</v>
      </c>
      <c r="L165" s="26">
        <v>0.110822505195243</v>
      </c>
      <c r="M165" s="29">
        <v>6252.5457218700003</v>
      </c>
    </row>
    <row r="166" spans="1:13" x14ac:dyDescent="0.25">
      <c r="A166" s="30">
        <v>42247</v>
      </c>
      <c r="B166" s="31">
        <v>0.106773534634391</v>
      </c>
      <c r="C166" s="32">
        <v>4299.3507010100002</v>
      </c>
      <c r="D166" s="31">
        <v>8.0557370517928301E-2</v>
      </c>
      <c r="E166" s="32">
        <v>4.016</v>
      </c>
      <c r="F166" s="31">
        <v>0.117171815796173</v>
      </c>
      <c r="G166" s="32">
        <v>656.82874842000001</v>
      </c>
      <c r="H166" s="33"/>
      <c r="I166" s="33"/>
      <c r="J166" s="31">
        <v>0.13321817879514899</v>
      </c>
      <c r="K166" s="32">
        <v>9.0155665599999999</v>
      </c>
      <c r="L166" s="31">
        <v>0.108174767005445</v>
      </c>
      <c r="M166" s="34">
        <v>4969.2110159900003</v>
      </c>
    </row>
    <row r="167" spans="1:13" x14ac:dyDescent="0.25">
      <c r="A167" s="25">
        <v>42277</v>
      </c>
      <c r="B167" s="26">
        <v>0.109613028182098</v>
      </c>
      <c r="C167" s="27">
        <v>5876.9803548600003</v>
      </c>
      <c r="D167" s="26">
        <v>8.5900000000000004E-2</v>
      </c>
      <c r="E167" s="27">
        <v>28</v>
      </c>
      <c r="F167" s="26">
        <v>0.12432577717516401</v>
      </c>
      <c r="G167" s="27">
        <v>822.68125559999999</v>
      </c>
      <c r="H167" s="28"/>
      <c r="I167" s="28"/>
      <c r="J167" s="26">
        <v>0.12957526732288499</v>
      </c>
      <c r="K167" s="27">
        <v>14.768925640000001</v>
      </c>
      <c r="L167" s="26">
        <v>0.11135346271089</v>
      </c>
      <c r="M167" s="29">
        <v>6742.4305360999997</v>
      </c>
    </row>
    <row r="168" spans="1:13" x14ac:dyDescent="0.25">
      <c r="A168" s="30">
        <v>42308</v>
      </c>
      <c r="B168" s="31">
        <v>0.109835921268136</v>
      </c>
      <c r="C168" s="32">
        <v>5085.7362680400001</v>
      </c>
      <c r="D168" s="31">
        <v>7.0599999999999996E-2</v>
      </c>
      <c r="E168" s="32">
        <v>15</v>
      </c>
      <c r="F168" s="31">
        <v>0.116759336776898</v>
      </c>
      <c r="G168" s="32">
        <v>819.84177265999995</v>
      </c>
      <c r="H168" s="33"/>
      <c r="I168" s="33"/>
      <c r="J168" s="31">
        <v>0.12950115937967499</v>
      </c>
      <c r="K168" s="32">
        <v>12.160449910000001</v>
      </c>
      <c r="L168" s="31">
        <v>0.110733770491106</v>
      </c>
      <c r="M168" s="34">
        <v>5932.7384906099996</v>
      </c>
    </row>
    <row r="169" spans="1:13" x14ac:dyDescent="0.25">
      <c r="A169" s="25">
        <v>42338</v>
      </c>
      <c r="B169" s="26">
        <v>0.116131578098375</v>
      </c>
      <c r="C169" s="27">
        <v>4400.90262282</v>
      </c>
      <c r="D169" s="28"/>
      <c r="E169" s="28"/>
      <c r="F169" s="26">
        <v>0.109761898961189</v>
      </c>
      <c r="G169" s="27">
        <v>773.79686632000005</v>
      </c>
      <c r="H169" s="28"/>
      <c r="I169" s="28"/>
      <c r="J169" s="26">
        <v>0.123303025216544</v>
      </c>
      <c r="K169" s="27">
        <v>12.494323570000001</v>
      </c>
      <c r="L169" s="26">
        <v>0.115198658373696</v>
      </c>
      <c r="M169" s="29">
        <v>5187.1938127100002</v>
      </c>
    </row>
    <row r="170" spans="1:13" x14ac:dyDescent="0.25">
      <c r="A170" s="30">
        <v>42369</v>
      </c>
      <c r="B170" s="31">
        <v>0.11879315306419901</v>
      </c>
      <c r="C170" s="32">
        <v>6726.2265543399999</v>
      </c>
      <c r="D170" s="31">
        <v>9.2351516903669106E-2</v>
      </c>
      <c r="E170" s="32">
        <v>41.680300000000003</v>
      </c>
      <c r="F170" s="31">
        <v>0.124220694545569</v>
      </c>
      <c r="G170" s="32">
        <v>961.66965329000004</v>
      </c>
      <c r="H170" s="33"/>
      <c r="I170" s="33"/>
      <c r="J170" s="31">
        <v>0.13468732066138001</v>
      </c>
      <c r="K170" s="32">
        <v>17.652218359999999</v>
      </c>
      <c r="L170" s="31">
        <v>0.119360836553574</v>
      </c>
      <c r="M170" s="34">
        <v>7747.2287259900004</v>
      </c>
    </row>
    <row r="171" spans="1:13" x14ac:dyDescent="0.25">
      <c r="A171" s="25">
        <v>42400</v>
      </c>
      <c r="B171" s="26">
        <v>0.12516109102425699</v>
      </c>
      <c r="C171" s="27">
        <v>4181.3721274400004</v>
      </c>
      <c r="D171" s="26">
        <v>9.1300000000000006E-2</v>
      </c>
      <c r="E171" s="27">
        <v>31.49</v>
      </c>
      <c r="F171" s="26">
        <v>0.14731523791704701</v>
      </c>
      <c r="G171" s="27">
        <v>330.75241452</v>
      </c>
      <c r="H171" s="28"/>
      <c r="I171" s="28"/>
      <c r="J171" s="26">
        <v>0.128946026321198</v>
      </c>
      <c r="K171" s="27">
        <v>10.8071573</v>
      </c>
      <c r="L171" s="26">
        <v>0.12654483559094001</v>
      </c>
      <c r="M171" s="29">
        <v>4554.4216992600004</v>
      </c>
    </row>
    <row r="172" spans="1:13" x14ac:dyDescent="0.25">
      <c r="A172" s="30">
        <v>42429</v>
      </c>
      <c r="B172" s="31">
        <v>0.12520241170431901</v>
      </c>
      <c r="C172" s="32">
        <v>5616.6873336099998</v>
      </c>
      <c r="D172" s="31">
        <v>0.11559999999999999</v>
      </c>
      <c r="E172" s="32">
        <v>0.8</v>
      </c>
      <c r="F172" s="31">
        <v>0.13671929322689799</v>
      </c>
      <c r="G172" s="32">
        <v>465.76166339999997</v>
      </c>
      <c r="H172" s="33"/>
      <c r="I172" s="33"/>
      <c r="J172" s="31">
        <v>0.14442277349945401</v>
      </c>
      <c r="K172" s="32">
        <v>11.419159820000001</v>
      </c>
      <c r="L172" s="31">
        <v>0.12611729669267399</v>
      </c>
      <c r="M172" s="34">
        <v>6094.66815683</v>
      </c>
    </row>
    <row r="173" spans="1:13" x14ac:dyDescent="0.25">
      <c r="A173" s="25">
        <v>42460</v>
      </c>
      <c r="B173" s="26">
        <v>0.13470945389311201</v>
      </c>
      <c r="C173" s="27">
        <v>6182.8216784599999</v>
      </c>
      <c r="D173" s="26">
        <v>0.104546666666667</v>
      </c>
      <c r="E173" s="27">
        <v>16.5</v>
      </c>
      <c r="F173" s="26">
        <v>0.14348945680449501</v>
      </c>
      <c r="G173" s="27">
        <v>651.04730787000005</v>
      </c>
      <c r="H173" s="28"/>
      <c r="I173" s="28"/>
      <c r="J173" s="26">
        <v>0.151616927311193</v>
      </c>
      <c r="K173" s="27">
        <v>11.47812706</v>
      </c>
      <c r="L173" s="26">
        <v>0.135498246952688</v>
      </c>
      <c r="M173" s="29">
        <v>6861.8471133900002</v>
      </c>
    </row>
    <row r="174" spans="1:13" x14ac:dyDescent="0.25">
      <c r="A174" s="30">
        <v>42490</v>
      </c>
      <c r="B174" s="31">
        <v>0.14094609117937801</v>
      </c>
      <c r="C174" s="32">
        <v>4741.4714254199998</v>
      </c>
      <c r="D174" s="33"/>
      <c r="E174" s="33"/>
      <c r="F174" s="31">
        <v>0.157219014500424</v>
      </c>
      <c r="G174" s="32">
        <v>484.09552359999998</v>
      </c>
      <c r="H174" s="33"/>
      <c r="I174" s="33"/>
      <c r="J174" s="31">
        <v>0.14576444694062299</v>
      </c>
      <c r="K174" s="32">
        <v>17.675066340000001</v>
      </c>
      <c r="L174" s="31">
        <v>0.14246477257033499</v>
      </c>
      <c r="M174" s="34">
        <v>5243.2420153599996</v>
      </c>
    </row>
    <row r="175" spans="1:13" x14ac:dyDescent="0.25">
      <c r="A175" s="25">
        <v>42521</v>
      </c>
      <c r="B175" s="26">
        <v>0.14220058955755499</v>
      </c>
      <c r="C175" s="27">
        <v>4965.4046737500003</v>
      </c>
      <c r="D175" s="28"/>
      <c r="E175" s="28"/>
      <c r="F175" s="26">
        <v>0.14985538353455599</v>
      </c>
      <c r="G175" s="27">
        <v>488.59142861999999</v>
      </c>
      <c r="H175" s="28"/>
      <c r="I175" s="28"/>
      <c r="J175" s="26">
        <v>0.148774055536782</v>
      </c>
      <c r="K175" s="27">
        <v>13.287022240000001</v>
      </c>
      <c r="L175" s="26">
        <v>0.14290064632742799</v>
      </c>
      <c r="M175" s="29">
        <v>5467.2831246100004</v>
      </c>
    </row>
    <row r="176" spans="1:13" x14ac:dyDescent="0.25">
      <c r="A176" s="30">
        <v>42551</v>
      </c>
      <c r="B176" s="31">
        <v>0.142097770111001</v>
      </c>
      <c r="C176" s="32">
        <v>6555.5252811299997</v>
      </c>
      <c r="D176" s="33"/>
      <c r="E176" s="33"/>
      <c r="F176" s="31">
        <v>0.15155443404154001</v>
      </c>
      <c r="G176" s="32">
        <v>723.17661072999999</v>
      </c>
      <c r="H176" s="33"/>
      <c r="I176" s="33"/>
      <c r="J176" s="31">
        <v>0.15458005394388399</v>
      </c>
      <c r="K176" s="32">
        <v>19.035574579999999</v>
      </c>
      <c r="L176" s="31">
        <v>0.14306744676224301</v>
      </c>
      <c r="M176" s="34">
        <v>7297.7374664400004</v>
      </c>
    </row>
    <row r="177" spans="1:13" x14ac:dyDescent="0.25">
      <c r="A177" s="25">
        <v>42582</v>
      </c>
      <c r="B177" s="26">
        <v>0.14633929330449599</v>
      </c>
      <c r="C177" s="27">
        <v>4575.8916757899997</v>
      </c>
      <c r="D177" s="28"/>
      <c r="E177" s="28"/>
      <c r="F177" s="26">
        <v>0.15365911873625299</v>
      </c>
      <c r="G177" s="27">
        <v>524.10047228999997</v>
      </c>
      <c r="H177" s="28"/>
      <c r="I177" s="28"/>
      <c r="J177" s="26">
        <v>0.17154781328159699</v>
      </c>
      <c r="K177" s="27">
        <v>12.07433704</v>
      </c>
      <c r="L177" s="26">
        <v>0.14714927888939699</v>
      </c>
      <c r="M177" s="29">
        <v>5112.0664851199999</v>
      </c>
    </row>
    <row r="178" spans="1:13" x14ac:dyDescent="0.25">
      <c r="A178" s="30">
        <v>42613</v>
      </c>
      <c r="B178" s="31">
        <v>0.14655026954716899</v>
      </c>
      <c r="C178" s="32">
        <v>6077.6169598400002</v>
      </c>
      <c r="D178" s="33"/>
      <c r="E178" s="33"/>
      <c r="F178" s="31">
        <v>0.152962809429739</v>
      </c>
      <c r="G178" s="32">
        <v>635.52094956999997</v>
      </c>
      <c r="H178" s="33"/>
      <c r="I178" s="33"/>
      <c r="J178" s="31">
        <v>0.163714712016957</v>
      </c>
      <c r="K178" s="32">
        <v>17.113109600000001</v>
      </c>
      <c r="L178" s="31">
        <v>0.147199434105657</v>
      </c>
      <c r="M178" s="34">
        <v>6730.2510190100002</v>
      </c>
    </row>
    <row r="179" spans="1:13" x14ac:dyDescent="0.25">
      <c r="A179" s="25">
        <v>42643</v>
      </c>
      <c r="B179" s="26">
        <v>0.14541740200661901</v>
      </c>
      <c r="C179" s="27">
        <v>5472.8618745499998</v>
      </c>
      <c r="D179" s="28"/>
      <c r="E179" s="28"/>
      <c r="F179" s="26">
        <v>0.15342751814627401</v>
      </c>
      <c r="G179" s="27">
        <v>641.84559410999998</v>
      </c>
      <c r="H179" s="28"/>
      <c r="I179" s="28"/>
      <c r="J179" s="26">
        <v>0.166162581742618</v>
      </c>
      <c r="K179" s="27">
        <v>17.384819289999999</v>
      </c>
      <c r="L179" s="26">
        <v>0.14631463393591301</v>
      </c>
      <c r="M179" s="29">
        <v>6132.0922879500004</v>
      </c>
    </row>
    <row r="180" spans="1:13" x14ac:dyDescent="0.25">
      <c r="A180" s="30">
        <v>42674</v>
      </c>
      <c r="B180" s="31">
        <v>0.14411073438765401</v>
      </c>
      <c r="C180" s="32">
        <v>4928.3559564400002</v>
      </c>
      <c r="D180" s="33"/>
      <c r="E180" s="33"/>
      <c r="F180" s="31">
        <v>0.150551870168108</v>
      </c>
      <c r="G180" s="32">
        <v>485.88039242000002</v>
      </c>
      <c r="H180" s="33"/>
      <c r="I180" s="33"/>
      <c r="J180" s="31">
        <v>0.15231507182201301</v>
      </c>
      <c r="K180" s="32">
        <v>19.322966439999998</v>
      </c>
      <c r="L180" s="31">
        <v>0.14471589087783701</v>
      </c>
      <c r="M180" s="34">
        <v>5433.5593153</v>
      </c>
    </row>
    <row r="181" spans="1:13" x14ac:dyDescent="0.25">
      <c r="A181" s="25">
        <v>42704</v>
      </c>
      <c r="B181" s="26">
        <v>0.14635283800552901</v>
      </c>
      <c r="C181" s="27">
        <v>6367.8575187400002</v>
      </c>
      <c r="D181" s="28"/>
      <c r="E181" s="28"/>
      <c r="F181" s="26">
        <v>0.141711376986496</v>
      </c>
      <c r="G181" s="27">
        <v>820.20503064000002</v>
      </c>
      <c r="H181" s="28"/>
      <c r="I181" s="28"/>
      <c r="J181" s="26">
        <v>0.15683698748144001</v>
      </c>
      <c r="K181" s="27">
        <v>22.922761040000001</v>
      </c>
      <c r="L181" s="26">
        <v>0.14585822821311001</v>
      </c>
      <c r="M181" s="29">
        <v>7210.9853104200001</v>
      </c>
    </row>
    <row r="182" spans="1:13" x14ac:dyDescent="0.25">
      <c r="A182" s="30">
        <v>42735</v>
      </c>
      <c r="B182" s="31">
        <v>0.140465711702461</v>
      </c>
      <c r="C182" s="32">
        <v>6742.6025795300002</v>
      </c>
      <c r="D182" s="33"/>
      <c r="E182" s="33"/>
      <c r="F182" s="31">
        <v>0.14164370041319299</v>
      </c>
      <c r="G182" s="32">
        <v>650.71287481000002</v>
      </c>
      <c r="H182" s="33"/>
      <c r="I182" s="33"/>
      <c r="J182" s="31">
        <v>0.15282393315685999</v>
      </c>
      <c r="K182" s="32">
        <v>21.578631309999999</v>
      </c>
      <c r="L182" s="31">
        <v>0.14060505365722301</v>
      </c>
      <c r="M182" s="34">
        <v>7414.8940856500003</v>
      </c>
    </row>
    <row r="183" spans="1:13" x14ac:dyDescent="0.25">
      <c r="A183" s="25">
        <v>42766</v>
      </c>
      <c r="B183" s="26">
        <v>0.142821990833785</v>
      </c>
      <c r="C183" s="27">
        <v>3777.2395099199998</v>
      </c>
      <c r="D183" s="28"/>
      <c r="E183" s="28"/>
      <c r="F183" s="26">
        <v>0.144329801791613</v>
      </c>
      <c r="G183" s="27">
        <v>338.15130822999998</v>
      </c>
      <c r="H183" s="28"/>
      <c r="I183" s="28"/>
      <c r="J183" s="26">
        <v>0.17047512709291099</v>
      </c>
      <c r="K183" s="27">
        <v>7.7025071900000004</v>
      </c>
      <c r="L183" s="26">
        <v>0.14299731228899701</v>
      </c>
      <c r="M183" s="29">
        <v>4123.0933253399999</v>
      </c>
    </row>
    <row r="184" spans="1:13" x14ac:dyDescent="0.25">
      <c r="A184" s="30">
        <v>42794</v>
      </c>
      <c r="B184" s="31">
        <v>0.137556479946808</v>
      </c>
      <c r="C184" s="32">
        <v>6305.9257784199999</v>
      </c>
      <c r="D184" s="33"/>
      <c r="E184" s="33"/>
      <c r="F184" s="31">
        <v>0.14256442454118001</v>
      </c>
      <c r="G184" s="32">
        <v>436.62182813999999</v>
      </c>
      <c r="H184" s="33"/>
      <c r="I184" s="33"/>
      <c r="J184" s="31">
        <v>0.16005973496220299</v>
      </c>
      <c r="K184" s="32">
        <v>16.969454710000001</v>
      </c>
      <c r="L184" s="31">
        <v>0.13793645472312999</v>
      </c>
      <c r="M184" s="34">
        <v>6759.5170612700003</v>
      </c>
    </row>
    <row r="185" spans="1:13" x14ac:dyDescent="0.25">
      <c r="A185" s="25">
        <v>42825</v>
      </c>
      <c r="B185" s="26">
        <v>0.13816517954701299</v>
      </c>
      <c r="C185" s="27">
        <v>6542.4201312900004</v>
      </c>
      <c r="D185" s="28"/>
      <c r="E185" s="28"/>
      <c r="F185" s="26">
        <v>0.13946510542576199</v>
      </c>
      <c r="G185" s="27">
        <v>678.76415984000005</v>
      </c>
      <c r="H185" s="28"/>
      <c r="I185" s="28"/>
      <c r="J185" s="26">
        <v>0.16517107251636601</v>
      </c>
      <c r="K185" s="27">
        <v>20.77404731</v>
      </c>
      <c r="L185" s="26">
        <v>0.13836448542302701</v>
      </c>
      <c r="M185" s="29">
        <v>7241.9583384400003</v>
      </c>
    </row>
    <row r="186" spans="1:13" x14ac:dyDescent="0.25">
      <c r="A186" s="30">
        <v>42855</v>
      </c>
      <c r="B186" s="31">
        <v>0.13701109433992401</v>
      </c>
      <c r="C186" s="32">
        <v>4495.63084824</v>
      </c>
      <c r="D186" s="33"/>
      <c r="E186" s="33"/>
      <c r="F186" s="31">
        <v>0.137360617862193</v>
      </c>
      <c r="G186" s="32">
        <v>427.08966584000001</v>
      </c>
      <c r="H186" s="33"/>
      <c r="I186" s="33"/>
      <c r="J186" s="31">
        <v>0.16177571019559001</v>
      </c>
      <c r="K186" s="32">
        <v>15.12691104</v>
      </c>
      <c r="L186" s="31">
        <v>0.13711719117929699</v>
      </c>
      <c r="M186" s="34">
        <v>4937.8474251199996</v>
      </c>
    </row>
    <row r="187" spans="1:13" x14ac:dyDescent="0.25">
      <c r="A187" s="25">
        <v>42886</v>
      </c>
      <c r="B187" s="26">
        <v>0.13363853163336301</v>
      </c>
      <c r="C187" s="27">
        <v>5894.4660082199998</v>
      </c>
      <c r="D187" s="28"/>
      <c r="E187" s="28"/>
      <c r="F187" s="26">
        <v>0.13367804000865899</v>
      </c>
      <c r="G187" s="27">
        <v>563.57563071000004</v>
      </c>
      <c r="H187" s="28"/>
      <c r="I187" s="28"/>
      <c r="J187" s="26">
        <v>0.15085436647728701</v>
      </c>
      <c r="K187" s="27">
        <v>29.336230860000001</v>
      </c>
      <c r="L187" s="26">
        <v>0.13371981463798199</v>
      </c>
      <c r="M187" s="29">
        <v>6487.3778697899997</v>
      </c>
    </row>
    <row r="188" spans="1:13" x14ac:dyDescent="0.25">
      <c r="A188" s="30">
        <v>42916</v>
      </c>
      <c r="B188" s="31">
        <v>0.12844132585261001</v>
      </c>
      <c r="C188" s="32">
        <v>5259.4583430800003</v>
      </c>
      <c r="D188" s="33"/>
      <c r="E188" s="33"/>
      <c r="F188" s="31">
        <v>0.13330980657524399</v>
      </c>
      <c r="G188" s="32">
        <v>446.98278446</v>
      </c>
      <c r="H188" s="33"/>
      <c r="I188" s="33"/>
      <c r="J188" s="31">
        <v>0.14023499899448999</v>
      </c>
      <c r="K188" s="32">
        <v>21.582259480000001</v>
      </c>
      <c r="L188" s="31">
        <v>0.12886567140365299</v>
      </c>
      <c r="M188" s="34">
        <v>5728.02338702</v>
      </c>
    </row>
    <row r="189" spans="1:13" x14ac:dyDescent="0.25">
      <c r="A189" s="25">
        <v>42947</v>
      </c>
      <c r="B189" s="26">
        <v>0.12625111945051401</v>
      </c>
      <c r="C189" s="27">
        <v>4412.0918870799997</v>
      </c>
      <c r="D189" s="28"/>
      <c r="E189" s="28"/>
      <c r="F189" s="26">
        <v>0.12752230919872401</v>
      </c>
      <c r="G189" s="27">
        <v>399.70268499000002</v>
      </c>
      <c r="H189" s="28"/>
      <c r="I189" s="28"/>
      <c r="J189" s="26">
        <v>0.158576231240425</v>
      </c>
      <c r="K189" s="27">
        <v>13.477841209999999</v>
      </c>
      <c r="L189" s="26">
        <v>0.12644670856026599</v>
      </c>
      <c r="M189" s="29">
        <v>4825.2724132800004</v>
      </c>
    </row>
    <row r="190" spans="1:13" x14ac:dyDescent="0.25">
      <c r="A190" s="30">
        <v>42978</v>
      </c>
      <c r="B190" s="31">
        <v>0.122439077922608</v>
      </c>
      <c r="C190" s="32">
        <v>5687.8132015399997</v>
      </c>
      <c r="D190" s="33"/>
      <c r="E190" s="33"/>
      <c r="F190" s="31">
        <v>0.124016885186786</v>
      </c>
      <c r="G190" s="32">
        <v>593.95769352000002</v>
      </c>
      <c r="H190" s="33"/>
      <c r="I190" s="33"/>
      <c r="J190" s="31">
        <v>0.151532699877197</v>
      </c>
      <c r="K190" s="32">
        <v>20.417950439999998</v>
      </c>
      <c r="L190" s="31">
        <v>0.12268203841922801</v>
      </c>
      <c r="M190" s="34">
        <v>6302.1888454999998</v>
      </c>
    </row>
    <row r="191" spans="1:13" x14ac:dyDescent="0.25">
      <c r="A191" s="25">
        <v>43008</v>
      </c>
      <c r="B191" s="26">
        <v>0.120346780095901</v>
      </c>
      <c r="C191" s="27">
        <v>5379.8321481499997</v>
      </c>
      <c r="D191" s="28"/>
      <c r="E191" s="28"/>
      <c r="F191" s="26">
        <v>0.12040460897187601</v>
      </c>
      <c r="G191" s="27">
        <v>512.51552559000004</v>
      </c>
      <c r="H191" s="28"/>
      <c r="I191" s="28"/>
      <c r="J191" s="26">
        <v>0.16421901024441299</v>
      </c>
      <c r="K191" s="27">
        <v>12.441070939999999</v>
      </c>
      <c r="L191" s="26">
        <v>0.12044423586028</v>
      </c>
      <c r="M191" s="29">
        <v>5904.7887446799996</v>
      </c>
    </row>
    <row r="192" spans="1:13" x14ac:dyDescent="0.25">
      <c r="A192" s="30">
        <v>43039</v>
      </c>
      <c r="B192" s="31">
        <v>0.120793965850635</v>
      </c>
      <c r="C192" s="32">
        <v>4519.1130105700004</v>
      </c>
      <c r="D192" s="33"/>
      <c r="E192" s="33"/>
      <c r="F192" s="31">
        <v>0.12613042016634399</v>
      </c>
      <c r="G192" s="32">
        <v>386.84023164000001</v>
      </c>
      <c r="H192" s="33"/>
      <c r="I192" s="33"/>
      <c r="J192" s="31">
        <v>0.14573180958411799</v>
      </c>
      <c r="K192" s="32">
        <v>19.44461982</v>
      </c>
      <c r="L192" s="31">
        <v>0.121311540726715</v>
      </c>
      <c r="M192" s="34">
        <v>4925.3978620300004</v>
      </c>
    </row>
    <row r="193" spans="1:13" x14ac:dyDescent="0.25">
      <c r="A193" s="25">
        <v>43069</v>
      </c>
      <c r="B193" s="26">
        <v>0.116634801224096</v>
      </c>
      <c r="C193" s="27">
        <v>6354.4177555400001</v>
      </c>
      <c r="D193" s="28"/>
      <c r="E193" s="28"/>
      <c r="F193" s="26">
        <v>0.120969348998114</v>
      </c>
      <c r="G193" s="27">
        <v>673.93628796999997</v>
      </c>
      <c r="H193" s="28"/>
      <c r="I193" s="28"/>
      <c r="J193" s="26">
        <v>0.146050789788223</v>
      </c>
      <c r="K193" s="27">
        <v>26.365630199999998</v>
      </c>
      <c r="L193" s="26">
        <v>0.117158816390593</v>
      </c>
      <c r="M193" s="29">
        <v>7054.7196737100003</v>
      </c>
    </row>
    <row r="194" spans="1:13" x14ac:dyDescent="0.25">
      <c r="A194" s="30">
        <v>43100</v>
      </c>
      <c r="B194" s="31">
        <v>0.11320869051244301</v>
      </c>
      <c r="C194" s="32">
        <v>5979.9370105899998</v>
      </c>
      <c r="D194" s="33"/>
      <c r="E194" s="33"/>
      <c r="F194" s="31">
        <v>0.11332943977807799</v>
      </c>
      <c r="G194" s="32">
        <v>615.78704440000001</v>
      </c>
      <c r="H194" s="33"/>
      <c r="I194" s="33"/>
      <c r="J194" s="31">
        <v>0.131940893515474</v>
      </c>
      <c r="K194" s="32">
        <v>28.810738860000001</v>
      </c>
      <c r="L194" s="31">
        <v>0.113301382972029</v>
      </c>
      <c r="M194" s="34">
        <v>6624.5347938499999</v>
      </c>
    </row>
    <row r="195" spans="1:13" x14ac:dyDescent="0.25">
      <c r="A195" s="25">
        <v>43131</v>
      </c>
      <c r="B195" s="26">
        <v>0.115319635193561</v>
      </c>
      <c r="C195" s="27">
        <v>4808.19104814</v>
      </c>
      <c r="D195" s="28"/>
      <c r="E195" s="28"/>
      <c r="F195" s="26">
        <v>0.12145258370549</v>
      </c>
      <c r="G195" s="27">
        <v>423.68066118000002</v>
      </c>
      <c r="H195" s="28"/>
      <c r="I195" s="28"/>
      <c r="J195" s="26">
        <v>0.153988036271717</v>
      </c>
      <c r="K195" s="27">
        <v>11.922401349999999</v>
      </c>
      <c r="L195" s="26">
        <v>0.11590307377753301</v>
      </c>
      <c r="M195" s="29">
        <v>5243.79411067</v>
      </c>
    </row>
    <row r="196" spans="1:13" x14ac:dyDescent="0.25">
      <c r="A196" s="30">
        <v>43159</v>
      </c>
      <c r="B196" s="31">
        <v>0.112772715887321</v>
      </c>
      <c r="C196" s="32">
        <v>5526.0492199700002</v>
      </c>
      <c r="D196" s="33"/>
      <c r="E196" s="33"/>
      <c r="F196" s="31">
        <v>0.117315275802601</v>
      </c>
      <c r="G196" s="32">
        <v>496.38460945000003</v>
      </c>
      <c r="H196" s="33"/>
      <c r="I196" s="33"/>
      <c r="J196" s="31">
        <v>0.14613514327999899</v>
      </c>
      <c r="K196" s="32">
        <v>15.51746924</v>
      </c>
      <c r="L196" s="31">
        <v>0.113231904279918</v>
      </c>
      <c r="M196" s="34">
        <v>6037.9512986600002</v>
      </c>
    </row>
    <row r="197" spans="1:13" x14ac:dyDescent="0.25">
      <c r="A197" s="25">
        <v>43190</v>
      </c>
      <c r="B197" s="26">
        <v>0.11073102986382601</v>
      </c>
      <c r="C197" s="27">
        <v>4904.0284352999997</v>
      </c>
      <c r="D197" s="28"/>
      <c r="E197" s="28"/>
      <c r="F197" s="26">
        <v>0.117289024713099</v>
      </c>
      <c r="G197" s="27">
        <v>469.79195138</v>
      </c>
      <c r="H197" s="28"/>
      <c r="I197" s="28"/>
      <c r="J197" s="26">
        <v>0.139877996634828</v>
      </c>
      <c r="K197" s="27">
        <v>16.374306090000001</v>
      </c>
      <c r="L197" s="26">
        <v>0.111391145992691</v>
      </c>
      <c r="M197" s="29">
        <v>5390.1946927700001</v>
      </c>
    </row>
    <row r="198" spans="1:13" x14ac:dyDescent="0.25">
      <c r="A198" s="30">
        <v>43220</v>
      </c>
      <c r="B198" s="31">
        <v>0.111296438765597</v>
      </c>
      <c r="C198" s="32">
        <v>4574.12629973</v>
      </c>
      <c r="D198" s="33"/>
      <c r="E198" s="33"/>
      <c r="F198" s="31">
        <v>0.115142177725001</v>
      </c>
      <c r="G198" s="32">
        <v>470.37525548999997</v>
      </c>
      <c r="H198" s="33"/>
      <c r="I198" s="33"/>
      <c r="J198" s="31">
        <v>0.124613817208535</v>
      </c>
      <c r="K198" s="32">
        <v>19.060397500000001</v>
      </c>
      <c r="L198" s="31">
        <v>0.11170381502500699</v>
      </c>
      <c r="M198" s="34">
        <v>5063.5619527199997</v>
      </c>
    </row>
    <row r="199" spans="1:13" x14ac:dyDescent="0.25">
      <c r="A199" s="25">
        <v>43251</v>
      </c>
      <c r="B199" s="26">
        <v>0.111697876501583</v>
      </c>
      <c r="C199" s="27">
        <v>6069.0092589799997</v>
      </c>
      <c r="D199" s="28"/>
      <c r="E199" s="28"/>
      <c r="F199" s="26">
        <v>0.111855002062165</v>
      </c>
      <c r="G199" s="27">
        <v>655.94165271999998</v>
      </c>
      <c r="H199" s="28"/>
      <c r="I199" s="28"/>
      <c r="J199" s="26">
        <v>0.13504411278526701</v>
      </c>
      <c r="K199" s="27">
        <v>23.17898138</v>
      </c>
      <c r="L199" s="26">
        <v>0.11179334104435899</v>
      </c>
      <c r="M199" s="29">
        <v>6748.1298930800003</v>
      </c>
    </row>
    <row r="200" spans="1:13" x14ac:dyDescent="0.25">
      <c r="A200" s="30">
        <v>43281</v>
      </c>
      <c r="B200" s="31">
        <v>0.10768724453510201</v>
      </c>
      <c r="C200" s="32">
        <v>5005.3459612500001</v>
      </c>
      <c r="D200" s="33"/>
      <c r="E200" s="33"/>
      <c r="F200" s="31">
        <v>0.110519620607505</v>
      </c>
      <c r="G200" s="32">
        <v>553.07845218</v>
      </c>
      <c r="H200" s="33"/>
      <c r="I200" s="33"/>
      <c r="J200" s="31">
        <v>0.12973296605465601</v>
      </c>
      <c r="K200" s="32">
        <v>18.58948655</v>
      </c>
      <c r="L200" s="31">
        <v>0.108041617844494</v>
      </c>
      <c r="M200" s="34">
        <v>5577.0138999800001</v>
      </c>
    </row>
    <row r="201" spans="1:13" x14ac:dyDescent="0.25">
      <c r="A201" s="25">
        <v>43312</v>
      </c>
      <c r="B201" s="26">
        <v>0.109503222653917</v>
      </c>
      <c r="C201" s="27">
        <v>4156.6606261099996</v>
      </c>
      <c r="D201" s="28"/>
      <c r="E201" s="28"/>
      <c r="F201" s="26">
        <v>0.110688245752751</v>
      </c>
      <c r="G201" s="27">
        <v>436.61346828000001</v>
      </c>
      <c r="H201" s="28"/>
      <c r="I201" s="28"/>
      <c r="J201" s="26">
        <v>0.12965946752471</v>
      </c>
      <c r="K201" s="27">
        <v>17.718566160000002</v>
      </c>
      <c r="L201" s="26">
        <v>0.10969288612195199</v>
      </c>
      <c r="M201" s="29">
        <v>4610.9926605500004</v>
      </c>
    </row>
    <row r="202" spans="1:13" x14ac:dyDescent="0.25">
      <c r="A202" s="30">
        <v>43343</v>
      </c>
      <c r="B202" s="31">
        <v>0.106860429521603</v>
      </c>
      <c r="C202" s="32">
        <v>6036.2692533099998</v>
      </c>
      <c r="D202" s="33"/>
      <c r="E202" s="33"/>
      <c r="F202" s="31">
        <v>0.107528730773492</v>
      </c>
      <c r="G202" s="32">
        <v>698.25895891000005</v>
      </c>
      <c r="H202" s="33"/>
      <c r="I202" s="33"/>
      <c r="J202" s="31">
        <v>0.137757494603747</v>
      </c>
      <c r="K202" s="32">
        <v>25.29054786</v>
      </c>
      <c r="L202" s="31">
        <v>0.107045057408953</v>
      </c>
      <c r="M202" s="34">
        <v>6759.8187600800002</v>
      </c>
    </row>
    <row r="203" spans="1:13" x14ac:dyDescent="0.25">
      <c r="A203" s="25">
        <v>43373</v>
      </c>
      <c r="B203" s="26">
        <v>0.107013940892649</v>
      </c>
      <c r="C203" s="27">
        <v>5221.4660931600001</v>
      </c>
      <c r="D203" s="28"/>
      <c r="E203" s="28"/>
      <c r="F203" s="26">
        <v>0.10603483780954701</v>
      </c>
      <c r="G203" s="27">
        <v>628.63172566000003</v>
      </c>
      <c r="H203" s="28"/>
      <c r="I203" s="28"/>
      <c r="J203" s="26">
        <v>0.13977770166006001</v>
      </c>
      <c r="K203" s="27">
        <v>15.45147944</v>
      </c>
      <c r="L203" s="26">
        <v>0.10699531576229999</v>
      </c>
      <c r="M203" s="29">
        <v>5865.5492982599999</v>
      </c>
    </row>
    <row r="204" spans="1:13" x14ac:dyDescent="0.25">
      <c r="A204" s="30">
        <v>43404</v>
      </c>
      <c r="B204" s="31">
        <v>0.105074789957388</v>
      </c>
      <c r="C204" s="32">
        <v>6308.3527393300001</v>
      </c>
      <c r="D204" s="33"/>
      <c r="E204" s="33"/>
      <c r="F204" s="31">
        <v>0.108791491049078</v>
      </c>
      <c r="G204" s="32">
        <v>628.06233369999995</v>
      </c>
      <c r="H204" s="33"/>
      <c r="I204" s="33"/>
      <c r="J204" s="31">
        <v>0.12637255908067599</v>
      </c>
      <c r="K204" s="32">
        <v>41.375833620000002</v>
      </c>
      <c r="L204" s="31">
        <v>0.105535613876268</v>
      </c>
      <c r="M204" s="34">
        <v>6977.7909066499997</v>
      </c>
    </row>
    <row r="205" spans="1:13" x14ac:dyDescent="0.25">
      <c r="A205" s="25">
        <v>43434</v>
      </c>
      <c r="B205" s="26">
        <v>0.105422002747926</v>
      </c>
      <c r="C205" s="27">
        <v>5332.6730216400001</v>
      </c>
      <c r="D205" s="28"/>
      <c r="E205" s="28"/>
      <c r="F205" s="26">
        <v>0.106657470174521</v>
      </c>
      <c r="G205" s="27">
        <v>524.52311538000004</v>
      </c>
      <c r="H205" s="28"/>
      <c r="I205" s="28"/>
      <c r="J205" s="26">
        <v>0.126649505282796</v>
      </c>
      <c r="K205" s="27">
        <v>22.887980039999999</v>
      </c>
      <c r="L205" s="26">
        <v>0.105614837709786</v>
      </c>
      <c r="M205" s="29">
        <v>5880.0841170599997</v>
      </c>
    </row>
    <row r="206" spans="1:13" x14ac:dyDescent="0.25">
      <c r="A206" s="30">
        <v>43465</v>
      </c>
      <c r="B206" s="31">
        <v>0.101760697178733</v>
      </c>
      <c r="C206" s="32">
        <v>7146.8639768200001</v>
      </c>
      <c r="D206" s="33"/>
      <c r="E206" s="33"/>
      <c r="F206" s="31">
        <v>0.108827412418397</v>
      </c>
      <c r="G206" s="32">
        <v>605.64618572999996</v>
      </c>
      <c r="H206" s="33"/>
      <c r="I206" s="33"/>
      <c r="J206" s="31">
        <v>0.115294206479938</v>
      </c>
      <c r="K206" s="32">
        <v>32.398557779999997</v>
      </c>
      <c r="L206" s="31">
        <v>0.10236679230387399</v>
      </c>
      <c r="M206" s="34">
        <v>7784.9087203299996</v>
      </c>
    </row>
    <row r="207" spans="1:13" x14ac:dyDescent="0.25">
      <c r="A207" s="25">
        <v>43496</v>
      </c>
      <c r="B207" s="26">
        <v>0.10754313167559799</v>
      </c>
      <c r="C207" s="27">
        <v>4725.9005640300002</v>
      </c>
      <c r="D207" s="28"/>
      <c r="E207" s="28"/>
      <c r="F207" s="26">
        <v>0.11390667903131001</v>
      </c>
      <c r="G207" s="27">
        <v>444.30191444000002</v>
      </c>
      <c r="H207" s="28"/>
      <c r="I207" s="28"/>
      <c r="J207" s="26">
        <v>0.14312498958629599</v>
      </c>
      <c r="K207" s="27">
        <v>18.29438524</v>
      </c>
      <c r="L207" s="26">
        <v>0.108213515521537</v>
      </c>
      <c r="M207" s="29">
        <v>5188.4968637100001</v>
      </c>
    </row>
    <row r="208" spans="1:13" x14ac:dyDescent="0.25">
      <c r="A208" s="30">
        <v>43524</v>
      </c>
      <c r="B208" s="31">
        <v>0.10240267433163699</v>
      </c>
      <c r="C208" s="32">
        <v>6136.5596031200002</v>
      </c>
      <c r="D208" s="33"/>
      <c r="E208" s="33"/>
      <c r="F208" s="31">
        <v>0.107789304440018</v>
      </c>
      <c r="G208" s="32">
        <v>446.67141046</v>
      </c>
      <c r="H208" s="33"/>
      <c r="I208" s="33"/>
      <c r="J208" s="31">
        <v>0.13103688073750799</v>
      </c>
      <c r="K208" s="32">
        <v>26.258159469999999</v>
      </c>
      <c r="L208" s="31">
        <v>0.102880462421741</v>
      </c>
      <c r="M208" s="34">
        <v>6609.4891730500003</v>
      </c>
    </row>
    <row r="209" spans="1:13" x14ac:dyDescent="0.25">
      <c r="A209" s="25">
        <v>43555</v>
      </c>
      <c r="B209" s="26">
        <v>0.104344795958947</v>
      </c>
      <c r="C209" s="27">
        <v>5392.2878609600002</v>
      </c>
      <c r="D209" s="28"/>
      <c r="E209" s="28"/>
      <c r="F209" s="26">
        <v>0.10634424107454001</v>
      </c>
      <c r="G209" s="27">
        <v>526.52717222000001</v>
      </c>
      <c r="H209" s="28"/>
      <c r="I209" s="28"/>
      <c r="J209" s="26">
        <v>0.14141218872943101</v>
      </c>
      <c r="K209" s="27">
        <v>18.05326998</v>
      </c>
      <c r="L209" s="26">
        <v>0.104634839392632</v>
      </c>
      <c r="M209" s="29">
        <v>5936.8683031600003</v>
      </c>
    </row>
    <row r="210" spans="1:13" x14ac:dyDescent="0.25">
      <c r="A210" s="30">
        <v>43585</v>
      </c>
      <c r="B210" s="31">
        <v>0.10321835441471899</v>
      </c>
      <c r="C210" s="32">
        <v>4738.0272765399995</v>
      </c>
      <c r="D210" s="33"/>
      <c r="E210" s="33"/>
      <c r="F210" s="31">
        <v>0.11003603547752699</v>
      </c>
      <c r="G210" s="32">
        <v>360.67677622999997</v>
      </c>
      <c r="H210" s="33"/>
      <c r="I210" s="33"/>
      <c r="J210" s="31">
        <v>0.13378277920913001</v>
      </c>
      <c r="K210" s="32">
        <v>26.4123871</v>
      </c>
      <c r="L210" s="31">
        <v>0.103855658709314</v>
      </c>
      <c r="M210" s="34">
        <v>5125.1164398700002</v>
      </c>
    </row>
    <row r="211" spans="1:13" x14ac:dyDescent="0.25">
      <c r="A211" s="25">
        <v>43616</v>
      </c>
      <c r="B211" s="26">
        <v>0.10435616383110199</v>
      </c>
      <c r="C211" s="27">
        <v>6958.9203875000003</v>
      </c>
      <c r="D211" s="28"/>
      <c r="E211" s="28"/>
      <c r="F211" s="26">
        <v>0.106440787247341</v>
      </c>
      <c r="G211" s="27">
        <v>601.06088420000003</v>
      </c>
      <c r="H211" s="28"/>
      <c r="I211" s="28"/>
      <c r="J211" s="26">
        <v>0.13327685571714701</v>
      </c>
      <c r="K211" s="27">
        <v>41.591416299999999</v>
      </c>
      <c r="L211" s="26">
        <v>0.104679233568281</v>
      </c>
      <c r="M211" s="29">
        <v>7601.5726880000002</v>
      </c>
    </row>
    <row r="212" spans="1:13" x14ac:dyDescent="0.25">
      <c r="A212" s="30">
        <v>43646</v>
      </c>
      <c r="B212" s="31">
        <v>0.10277458927238201</v>
      </c>
      <c r="C212" s="32">
        <v>5859.8567008600003</v>
      </c>
      <c r="D212" s="33"/>
      <c r="E212" s="33"/>
      <c r="F212" s="31">
        <v>0.104658078050597</v>
      </c>
      <c r="G212" s="32">
        <v>531.25303740000004</v>
      </c>
      <c r="H212" s="33"/>
      <c r="I212" s="33"/>
      <c r="J212" s="31">
        <v>0.13005977200296001</v>
      </c>
      <c r="K212" s="32">
        <v>31.297293150000002</v>
      </c>
      <c r="L212" s="31">
        <v>0.103063353490691</v>
      </c>
      <c r="M212" s="34">
        <v>6422.4070314099999</v>
      </c>
    </row>
    <row r="213" spans="1:13" x14ac:dyDescent="0.25">
      <c r="A213" s="25">
        <v>43677</v>
      </c>
      <c r="B213" s="26">
        <v>0.10340055411638301</v>
      </c>
      <c r="C213" s="27">
        <v>6533.2541713500004</v>
      </c>
      <c r="D213" s="28"/>
      <c r="E213" s="28"/>
      <c r="F213" s="26">
        <v>0.104073003269</v>
      </c>
      <c r="G213" s="27">
        <v>608.03503532000002</v>
      </c>
      <c r="H213" s="28"/>
      <c r="I213" s="28"/>
      <c r="J213" s="26">
        <v>0.13091255706967</v>
      </c>
      <c r="K213" s="27">
        <v>33.356938880000001</v>
      </c>
      <c r="L213" s="26">
        <v>0.10358545364902901</v>
      </c>
      <c r="M213" s="29">
        <v>7174.6461455500003</v>
      </c>
    </row>
    <row r="214" spans="1:13" x14ac:dyDescent="0.25">
      <c r="A214" s="30">
        <v>43708</v>
      </c>
      <c r="B214" s="31">
        <v>0.102602031799074</v>
      </c>
      <c r="C214" s="32">
        <v>5429.7786909500001</v>
      </c>
      <c r="D214" s="33"/>
      <c r="E214" s="33"/>
      <c r="F214" s="31">
        <v>0.109652669988531</v>
      </c>
      <c r="G214" s="32">
        <v>437.13477753000001</v>
      </c>
      <c r="H214" s="33"/>
      <c r="I214" s="33"/>
      <c r="J214" s="31">
        <v>0.13374294637325199</v>
      </c>
      <c r="K214" s="32">
        <v>20.260473009999998</v>
      </c>
      <c r="L214" s="31">
        <v>0.103232726412562</v>
      </c>
      <c r="M214" s="34">
        <v>5887.1739414900003</v>
      </c>
    </row>
    <row r="215" spans="1:13" x14ac:dyDescent="0.25">
      <c r="A215" s="25">
        <v>43738</v>
      </c>
      <c r="B215" s="26">
        <v>0.100118604833136</v>
      </c>
      <c r="C215" s="27">
        <v>6128.9174475700001</v>
      </c>
      <c r="D215" s="28"/>
      <c r="E215" s="28"/>
      <c r="F215" s="26">
        <v>9.6593674393455106E-2</v>
      </c>
      <c r="G215" s="27">
        <v>473.18526052999999</v>
      </c>
      <c r="H215" s="28"/>
      <c r="I215" s="28"/>
      <c r="J215" s="26">
        <v>0.14238523007413501</v>
      </c>
      <c r="K215" s="27">
        <v>24.08351927</v>
      </c>
      <c r="L215" s="26">
        <v>0.100020506783692</v>
      </c>
      <c r="M215" s="29">
        <v>6626.1862273699999</v>
      </c>
    </row>
    <row r="216" spans="1:13" x14ac:dyDescent="0.25">
      <c r="A216" s="30">
        <v>43769</v>
      </c>
      <c r="B216" s="31">
        <v>0.102827663914589</v>
      </c>
      <c r="C216" s="32">
        <v>7477.3512423700004</v>
      </c>
      <c r="D216" s="33"/>
      <c r="E216" s="33"/>
      <c r="F216" s="31">
        <v>9.7847231823956604E-2</v>
      </c>
      <c r="G216" s="32">
        <v>692.42634313999997</v>
      </c>
      <c r="H216" s="33"/>
      <c r="I216" s="33"/>
      <c r="J216" s="31">
        <v>0.135779217441693</v>
      </c>
      <c r="K216" s="32">
        <v>31.153643580000001</v>
      </c>
      <c r="L216" s="31">
        <v>0.102532328998008</v>
      </c>
      <c r="M216" s="34">
        <v>8200.9312290899998</v>
      </c>
    </row>
    <row r="217" spans="1:13" x14ac:dyDescent="0.25">
      <c r="A217" s="25">
        <v>43799</v>
      </c>
      <c r="B217" s="26">
        <v>0.10042608545767399</v>
      </c>
      <c r="C217" s="27">
        <v>5610.6142413699999</v>
      </c>
      <c r="D217" s="28"/>
      <c r="E217" s="28"/>
      <c r="F217" s="26">
        <v>9.0538557124908603E-2</v>
      </c>
      <c r="G217" s="27">
        <v>583.62582028999998</v>
      </c>
      <c r="H217" s="28"/>
      <c r="I217" s="28"/>
      <c r="J217" s="26">
        <v>0.13363428116555501</v>
      </c>
      <c r="K217" s="27">
        <v>24.261616050000001</v>
      </c>
      <c r="L217" s="26">
        <v>9.9627672501074599E-2</v>
      </c>
      <c r="M217" s="29">
        <v>6218.50167771</v>
      </c>
    </row>
    <row r="218" spans="1:13" x14ac:dyDescent="0.25">
      <c r="A218" s="30">
        <v>43830</v>
      </c>
      <c r="B218" s="31">
        <v>0.100247256050675</v>
      </c>
      <c r="C218" s="32">
        <v>7571.5552722599996</v>
      </c>
      <c r="D218" s="33"/>
      <c r="E218" s="33"/>
      <c r="F218" s="31">
        <v>9.5469335670705396E-2</v>
      </c>
      <c r="G218" s="32">
        <v>732.90937976999999</v>
      </c>
      <c r="H218" s="33"/>
      <c r="I218" s="33"/>
      <c r="J218" s="31">
        <v>0.125237121384528</v>
      </c>
      <c r="K218" s="32">
        <v>40.239380570000002</v>
      </c>
      <c r="L218" s="31">
        <v>9.9948119503698807E-2</v>
      </c>
      <c r="M218" s="34">
        <v>8344.7040326000006</v>
      </c>
    </row>
    <row r="219" spans="1:13" x14ac:dyDescent="0.25">
      <c r="A219" s="25">
        <v>43861</v>
      </c>
      <c r="B219" s="26">
        <v>0.10285632342481101</v>
      </c>
      <c r="C219" s="27">
        <v>4596.28945183</v>
      </c>
      <c r="D219" s="28"/>
      <c r="E219" s="28"/>
      <c r="F219" s="26">
        <v>9.8500270001679699E-2</v>
      </c>
      <c r="G219" s="27">
        <v>413.59460892999999</v>
      </c>
      <c r="H219" s="28"/>
      <c r="I219" s="28"/>
      <c r="J219" s="26">
        <v>0.14178667451493501</v>
      </c>
      <c r="K219" s="27">
        <v>16.173509639999999</v>
      </c>
      <c r="L219" s="26">
        <v>0.10262313871882001</v>
      </c>
      <c r="M219" s="29">
        <v>5026.0575704000003</v>
      </c>
    </row>
    <row r="220" spans="1:13" x14ac:dyDescent="0.25">
      <c r="A220" s="30">
        <v>43890</v>
      </c>
      <c r="B220" s="31">
        <v>9.7197087795067194E-2</v>
      </c>
      <c r="C220" s="32">
        <v>6701.3276663899996</v>
      </c>
      <c r="D220" s="33"/>
      <c r="E220" s="33"/>
      <c r="F220" s="31">
        <v>9.8038276408709504E-2</v>
      </c>
      <c r="G220" s="32">
        <v>524.72002523000003</v>
      </c>
      <c r="H220" s="33"/>
      <c r="I220" s="33"/>
      <c r="J220" s="31">
        <v>0.132071801381553</v>
      </c>
      <c r="K220" s="32">
        <v>30.8470771</v>
      </c>
      <c r="L220" s="31">
        <v>9.7406154025985001E-2</v>
      </c>
      <c r="M220" s="34">
        <v>7256.8947687199998</v>
      </c>
    </row>
    <row r="221" spans="1:13" x14ac:dyDescent="0.25">
      <c r="A221" s="25">
        <v>43921</v>
      </c>
      <c r="B221" s="26">
        <v>9.4388322107249401E-2</v>
      </c>
      <c r="C221" s="27">
        <v>6213.0275171699996</v>
      </c>
      <c r="D221" s="28"/>
      <c r="E221" s="28"/>
      <c r="F221" s="26">
        <v>9.1997714695018107E-2</v>
      </c>
      <c r="G221" s="27">
        <v>499.22519943999998</v>
      </c>
      <c r="H221" s="28"/>
      <c r="I221" s="28"/>
      <c r="J221" s="26">
        <v>0.116092040243016</v>
      </c>
      <c r="K221" s="27">
        <v>46.488004410000002</v>
      </c>
      <c r="L221" s="26">
        <v>9.4361025752041902E-2</v>
      </c>
      <c r="M221" s="29">
        <v>6758.7407210199999</v>
      </c>
    </row>
    <row r="222" spans="1:13" x14ac:dyDescent="0.25">
      <c r="A222" s="30">
        <v>43951</v>
      </c>
      <c r="B222" s="31">
        <v>9.19838504714557E-2</v>
      </c>
      <c r="C222" s="32">
        <v>5312.2173106500004</v>
      </c>
      <c r="D222" s="33"/>
      <c r="E222" s="33"/>
      <c r="F222" s="31">
        <v>0.115457904705994</v>
      </c>
      <c r="G222" s="32">
        <v>150.28397122999999</v>
      </c>
      <c r="H222" s="33"/>
      <c r="I222" s="33"/>
      <c r="J222" s="31">
        <v>0.11417416843780701</v>
      </c>
      <c r="K222" s="32">
        <v>21.959186150000001</v>
      </c>
      <c r="L222" s="31">
        <v>9.2715928922916996E-2</v>
      </c>
      <c r="M222" s="34">
        <v>5484.4604680299999</v>
      </c>
    </row>
    <row r="223" spans="1:13" x14ac:dyDescent="0.25">
      <c r="A223" s="25">
        <v>43982</v>
      </c>
      <c r="B223" s="26">
        <v>9.4268812657976306E-2</v>
      </c>
      <c r="C223" s="27">
        <v>4148.3689347500003</v>
      </c>
      <c r="D223" s="28"/>
      <c r="E223" s="28"/>
      <c r="F223" s="26">
        <v>0.118226133989789</v>
      </c>
      <c r="G223" s="27">
        <v>183.03831360999999</v>
      </c>
      <c r="H223" s="28"/>
      <c r="I223" s="28"/>
      <c r="J223" s="26">
        <v>0.13194374231240799</v>
      </c>
      <c r="K223" s="27">
        <v>17.40937722</v>
      </c>
      <c r="L223" s="26">
        <v>9.5427979673468999E-2</v>
      </c>
      <c r="M223" s="29">
        <v>4348.8166255799997</v>
      </c>
    </row>
    <row r="224" spans="1:13" x14ac:dyDescent="0.25">
      <c r="A224" s="35" t="s">
        <v>99</v>
      </c>
    </row>
    <row r="225" spans="1:8" x14ac:dyDescent="0.25">
      <c r="A225" s="89" t="s">
        <v>100</v>
      </c>
      <c r="B225" s="89"/>
      <c r="C225" s="89"/>
      <c r="D225" s="89"/>
      <c r="E225" s="89"/>
      <c r="F225" s="89"/>
      <c r="G225" s="89"/>
      <c r="H225" s="89"/>
    </row>
    <row r="226" spans="1:8" x14ac:dyDescent="0.25">
      <c r="A226" s="89" t="s">
        <v>99</v>
      </c>
      <c r="B226" s="89"/>
      <c r="C226" s="89"/>
      <c r="D226" s="89"/>
      <c r="E226" s="89"/>
      <c r="F226" s="89"/>
      <c r="G226" s="89"/>
      <c r="H226" s="89"/>
    </row>
    <row r="227" spans="1:8" x14ac:dyDescent="0.25">
      <c r="A227" s="89" t="s">
        <v>101</v>
      </c>
      <c r="B227" s="89"/>
      <c r="C227" s="89"/>
      <c r="D227" s="89"/>
      <c r="E227" s="89"/>
      <c r="F227" s="89"/>
      <c r="G227" s="89"/>
      <c r="H227" s="89"/>
    </row>
    <row r="228" spans="1:8" x14ac:dyDescent="0.25">
      <c r="A228" s="90" t="s">
        <v>102</v>
      </c>
      <c r="B228" s="90"/>
      <c r="C228" s="90"/>
      <c r="D228" s="90"/>
      <c r="E228" s="90"/>
      <c r="F228" s="90"/>
      <c r="G228" s="90"/>
      <c r="H228" s="90"/>
    </row>
    <row r="229" spans="1:8" x14ac:dyDescent="0.25">
      <c r="A229" s="90" t="s">
        <v>48</v>
      </c>
      <c r="B229" s="90"/>
      <c r="C229" s="90"/>
      <c r="D229" s="90"/>
      <c r="E229" s="90"/>
      <c r="F229" s="90"/>
      <c r="G229" s="90"/>
      <c r="H229" s="90"/>
    </row>
    <row r="230" spans="1:8" x14ac:dyDescent="0.25">
      <c r="A230" s="90" t="s">
        <v>103</v>
      </c>
      <c r="B230" s="90"/>
      <c r="C230" s="90"/>
      <c r="D230" s="90"/>
      <c r="E230" s="90"/>
      <c r="F230" s="90"/>
      <c r="G230" s="90"/>
      <c r="H230" s="90"/>
    </row>
    <row r="231" spans="1:8" x14ac:dyDescent="0.25">
      <c r="A231" s="88" t="s">
        <v>104</v>
      </c>
      <c r="B231" s="88"/>
      <c r="C231" s="88"/>
      <c r="D231" s="88"/>
      <c r="E231" s="88"/>
      <c r="F231" s="88"/>
      <c r="G231" s="88"/>
      <c r="H231" s="88"/>
    </row>
    <row r="232" spans="1:8" x14ac:dyDescent="0.25">
      <c r="A232" s="88" t="s">
        <v>99</v>
      </c>
      <c r="B232" s="88"/>
      <c r="C232" s="88"/>
      <c r="D232" s="88"/>
      <c r="E232" s="88"/>
      <c r="F232" s="88"/>
      <c r="G232" s="88"/>
      <c r="H232" s="88"/>
    </row>
    <row r="233" spans="1:8" x14ac:dyDescent="0.25">
      <c r="A233" s="88" t="s">
        <v>105</v>
      </c>
      <c r="B233" s="88"/>
      <c r="C233" s="88"/>
      <c r="D233" s="88"/>
      <c r="E233" s="88"/>
      <c r="F233" s="88"/>
      <c r="G233" s="88"/>
      <c r="H233" s="88"/>
    </row>
  </sheetData>
  <sortState xmlns:xlrd2="http://schemas.microsoft.com/office/spreadsheetml/2017/richdata2" ref="A7:M223">
    <sortCondition ref="A7:A223"/>
  </sortState>
  <mergeCells count="15">
    <mergeCell ref="L5:M5"/>
    <mergeCell ref="B5:C5"/>
    <mergeCell ref="D5:E5"/>
    <mergeCell ref="F5:G5"/>
    <mergeCell ref="H5:I5"/>
    <mergeCell ref="J5:K5"/>
    <mergeCell ref="A231:H231"/>
    <mergeCell ref="A232:H232"/>
    <mergeCell ref="A233:H233"/>
    <mergeCell ref="A225:H225"/>
    <mergeCell ref="A226:H226"/>
    <mergeCell ref="A227:H227"/>
    <mergeCell ref="A228:H228"/>
    <mergeCell ref="A229:H229"/>
    <mergeCell ref="A230:H230"/>
  </mergeCells>
  <hyperlinks>
    <hyperlink ref="A225" r:id="rId1" xr:uid="{AE88AC07-3301-4B58-BDE2-19DCB9BDA5E3}"/>
  </hyperlinks>
  <pageMargins left="0.7" right="0.7" top="0.75" bottom="0.75" header="0.3" footer="0.3"/>
  <pageSetup paperSize="0" orientation="portrait" horizontalDpi="0" verticalDpi="0" copie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5F1FDA-3729-43B2-8D3B-6CABBA65061A}">
  <dimension ref="B2:F15"/>
  <sheetViews>
    <sheetView zoomScale="145" zoomScaleNormal="145" workbookViewId="0">
      <selection activeCell="H18" sqref="H18"/>
    </sheetView>
  </sheetViews>
  <sheetFormatPr baseColWidth="10" defaultRowHeight="12.75" x14ac:dyDescent="0.2"/>
  <cols>
    <col min="1" max="1" width="1.7109375" style="10" customWidth="1"/>
    <col min="2" max="4" width="11.42578125" style="10"/>
    <col min="5" max="5" width="19.28515625" style="10" customWidth="1"/>
    <col min="6" max="16384" width="11.42578125" style="10"/>
  </cols>
  <sheetData>
    <row r="2" spans="2:6" x14ac:dyDescent="0.2">
      <c r="B2" s="96" t="s">
        <v>63</v>
      </c>
      <c r="C2" s="97"/>
      <c r="D2" s="97"/>
      <c r="E2" s="97"/>
      <c r="F2" s="98"/>
    </row>
    <row r="3" spans="2:6" x14ac:dyDescent="0.2">
      <c r="B3" s="94" t="s">
        <v>49</v>
      </c>
      <c r="C3" s="95"/>
      <c r="D3" s="95"/>
      <c r="E3" s="95"/>
      <c r="F3" s="14">
        <v>1</v>
      </c>
    </row>
    <row r="4" spans="2:6" x14ac:dyDescent="0.2">
      <c r="B4" s="94" t="s">
        <v>50</v>
      </c>
      <c r="C4" s="95"/>
      <c r="D4" s="15">
        <v>1</v>
      </c>
      <c r="E4" s="16" t="s">
        <v>51</v>
      </c>
      <c r="F4" s="14">
        <f>1/12</f>
        <v>8.3333333333333329E-2</v>
      </c>
    </row>
    <row r="5" spans="2:6" x14ac:dyDescent="0.2">
      <c r="B5" s="94" t="s">
        <v>52</v>
      </c>
      <c r="C5" s="95"/>
      <c r="D5" s="15">
        <v>1</v>
      </c>
      <c r="E5" s="16" t="s">
        <v>51</v>
      </c>
      <c r="F5" s="14">
        <f>1/12</f>
        <v>8.3333333333333329E-2</v>
      </c>
    </row>
    <row r="6" spans="2:6" x14ac:dyDescent="0.2">
      <c r="B6" s="94" t="s">
        <v>53</v>
      </c>
      <c r="C6" s="95"/>
      <c r="D6" s="15">
        <v>0.01</v>
      </c>
      <c r="E6" s="16" t="s">
        <v>54</v>
      </c>
      <c r="F6" s="14">
        <v>0.01</v>
      </c>
    </row>
    <row r="7" spans="2:6" x14ac:dyDescent="0.2">
      <c r="B7" s="94" t="s">
        <v>55</v>
      </c>
      <c r="C7" s="95"/>
      <c r="D7" s="95"/>
      <c r="E7" s="95"/>
      <c r="F7" s="14">
        <f>+F5/2</f>
        <v>4.1666666666666664E-2</v>
      </c>
    </row>
    <row r="8" spans="2:6" x14ac:dyDescent="0.2">
      <c r="B8" s="94" t="s">
        <v>56</v>
      </c>
      <c r="C8" s="95"/>
      <c r="D8" s="95"/>
      <c r="E8" s="95"/>
      <c r="F8" s="14">
        <v>0.20499999999999999</v>
      </c>
    </row>
    <row r="9" spans="2:6" x14ac:dyDescent="0.2">
      <c r="B9" s="94" t="s">
        <v>57</v>
      </c>
      <c r="C9" s="95"/>
      <c r="D9" s="95"/>
      <c r="E9" s="95"/>
      <c r="F9" s="14">
        <v>0.04</v>
      </c>
    </row>
    <row r="10" spans="2:6" x14ac:dyDescent="0.2">
      <c r="B10" s="94" t="s">
        <v>58</v>
      </c>
      <c r="C10" s="95"/>
      <c r="D10" s="95"/>
      <c r="E10" s="95"/>
      <c r="F10" s="14">
        <v>6.9599999999999995E-2</v>
      </c>
    </row>
    <row r="11" spans="2:6" x14ac:dyDescent="0.2">
      <c r="B11" s="94" t="s">
        <v>59</v>
      </c>
      <c r="C11" s="95"/>
      <c r="D11" s="95"/>
      <c r="E11" s="95"/>
      <c r="F11" s="14">
        <v>0.05</v>
      </c>
    </row>
    <row r="12" spans="2:6" x14ac:dyDescent="0.2">
      <c r="B12" s="94" t="s">
        <v>60</v>
      </c>
      <c r="C12" s="95"/>
      <c r="D12" s="95"/>
      <c r="E12" s="95"/>
      <c r="F12" s="14">
        <v>5.4000000000000003E-3</v>
      </c>
    </row>
    <row r="13" spans="2:6" x14ac:dyDescent="0.2">
      <c r="B13" s="94" t="s">
        <v>61</v>
      </c>
      <c r="C13" s="95"/>
      <c r="D13" s="95"/>
      <c r="E13" s="95"/>
      <c r="F13" s="14">
        <v>0.02</v>
      </c>
    </row>
    <row r="14" spans="2:6" x14ac:dyDescent="0.2">
      <c r="B14" s="94" t="s">
        <v>62</v>
      </c>
      <c r="C14" s="95"/>
      <c r="D14" s="95"/>
      <c r="E14" s="95"/>
      <c r="F14" s="14">
        <v>0.05</v>
      </c>
    </row>
    <row r="15" spans="2:6" x14ac:dyDescent="0.2">
      <c r="B15" s="12" t="s">
        <v>64</v>
      </c>
      <c r="C15" s="13"/>
      <c r="D15" s="13"/>
      <c r="E15" s="18"/>
      <c r="F15" s="17">
        <f>SUM(F3:F14)</f>
        <v>1.6583333333333334</v>
      </c>
    </row>
  </sheetData>
  <mergeCells count="13">
    <mergeCell ref="B7:E7"/>
    <mergeCell ref="B2:F2"/>
    <mergeCell ref="B3:E3"/>
    <mergeCell ref="B4:C4"/>
    <mergeCell ref="B5:C5"/>
    <mergeCell ref="B6:C6"/>
    <mergeCell ref="B14:E14"/>
    <mergeCell ref="B8:E8"/>
    <mergeCell ref="B9:E9"/>
    <mergeCell ref="B10:E10"/>
    <mergeCell ref="B11:E11"/>
    <mergeCell ref="B12:E12"/>
    <mergeCell ref="B13:E1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D83853-B626-407E-AB3E-AF1689618A0D}">
  <dimension ref="B2:E10"/>
  <sheetViews>
    <sheetView zoomScale="130" zoomScaleNormal="130" workbookViewId="0">
      <selection activeCell="B10" sqref="B10"/>
    </sheetView>
  </sheetViews>
  <sheetFormatPr baseColWidth="10" defaultRowHeight="12.75" x14ac:dyDescent="0.25"/>
  <cols>
    <col min="1" max="1" width="1.5703125" style="105" customWidth="1"/>
    <col min="2" max="2" width="20.140625" style="105" bestFit="1" customWidth="1"/>
    <col min="3" max="3" width="20.140625" style="105" customWidth="1"/>
    <col min="4" max="16384" width="11.42578125" style="105"/>
  </cols>
  <sheetData>
    <row r="2" spans="2:5" x14ac:dyDescent="0.25">
      <c r="B2" s="9" t="s">
        <v>208</v>
      </c>
      <c r="C2" s="7" t="s">
        <v>199</v>
      </c>
      <c r="D2" s="7" t="s">
        <v>17</v>
      </c>
      <c r="E2" s="8" t="s">
        <v>153</v>
      </c>
    </row>
    <row r="3" spans="2:5" x14ac:dyDescent="0.25">
      <c r="B3" s="106" t="s">
        <v>206</v>
      </c>
      <c r="C3" s="106" t="s">
        <v>200</v>
      </c>
      <c r="D3" s="107">
        <v>192956</v>
      </c>
      <c r="E3" s="108">
        <f>D3/$D$5</f>
        <v>0.28015186822600197</v>
      </c>
    </row>
    <row r="4" spans="2:5" x14ac:dyDescent="0.25">
      <c r="B4" s="106" t="s">
        <v>207</v>
      </c>
      <c r="C4" s="106" t="s">
        <v>201</v>
      </c>
      <c r="D4" s="107">
        <v>495799</v>
      </c>
      <c r="E4" s="108">
        <f t="shared" ref="E4:E5" si="0">D4/$D$5</f>
        <v>0.71984813177399798</v>
      </c>
    </row>
    <row r="5" spans="2:5" x14ac:dyDescent="0.25">
      <c r="B5" s="106" t="s">
        <v>202</v>
      </c>
      <c r="C5" s="106"/>
      <c r="D5" s="107">
        <f>SUM(D3:D4)</f>
        <v>688755</v>
      </c>
      <c r="E5" s="108">
        <f t="shared" si="0"/>
        <v>1</v>
      </c>
    </row>
    <row r="7" spans="2:5" x14ac:dyDescent="0.25">
      <c r="B7" s="9" t="s">
        <v>208</v>
      </c>
      <c r="C7" s="7" t="s">
        <v>199</v>
      </c>
      <c r="D7" s="7" t="s">
        <v>203</v>
      </c>
      <c r="E7" s="8" t="s">
        <v>153</v>
      </c>
    </row>
    <row r="8" spans="2:5" x14ac:dyDescent="0.25">
      <c r="B8" s="106" t="s">
        <v>206</v>
      </c>
      <c r="C8" s="106" t="s">
        <v>204</v>
      </c>
      <c r="D8" s="107">
        <v>13313</v>
      </c>
      <c r="E8" s="108">
        <f>D8/$D$10</f>
        <v>7.3361583944542105E-2</v>
      </c>
    </row>
    <row r="9" spans="2:5" x14ac:dyDescent="0.25">
      <c r="B9" s="106" t="s">
        <v>207</v>
      </c>
      <c r="C9" s="106" t="s">
        <v>201</v>
      </c>
      <c r="D9" s="107">
        <v>168158</v>
      </c>
      <c r="E9" s="108">
        <f>D9/$D$10</f>
        <v>0.92663841605545794</v>
      </c>
    </row>
    <row r="10" spans="2:5" x14ac:dyDescent="0.25">
      <c r="B10" s="106" t="s">
        <v>205</v>
      </c>
      <c r="C10" s="106"/>
      <c r="D10" s="107">
        <f>SUM(D8:D9)</f>
        <v>181471</v>
      </c>
      <c r="E10" s="108">
        <f>D10/$D$10</f>
        <v>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8C42CE87DF4F4FA9E3AB51A63EFD9C" ma:contentTypeVersion="8" ma:contentTypeDescription="Crear nuevo documento." ma:contentTypeScope="" ma:versionID="ae1d6c993490d467ca242d8baca083ca">
  <xsd:schema xmlns:xsd="http://www.w3.org/2001/XMLSchema" xmlns:xs="http://www.w3.org/2001/XMLSchema" xmlns:p="http://schemas.microsoft.com/office/2006/metadata/properties" xmlns:ns2="442751cd-85a6-4d9f-a3da-9ea20e9e0a20" xmlns:ns3="bbe900ca-133d-4e71-bf25-4fa3d6075698" targetNamespace="http://schemas.microsoft.com/office/2006/metadata/properties" ma:root="true" ma:fieldsID="3a542eb18db5169d29bf99da8ac6921d" ns2:_="" ns3:_="">
    <xsd:import namespace="442751cd-85a6-4d9f-a3da-9ea20e9e0a20"/>
    <xsd:import namespace="bbe900ca-133d-4e71-bf25-4fa3d607569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2751cd-85a6-4d9f-a3da-9ea20e9e0a2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e900ca-133d-4e71-bf25-4fa3d6075698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3C8F774-E60F-4E9C-BAF7-9D274EC049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2751cd-85a6-4d9f-a3da-9ea20e9e0a20"/>
    <ds:schemaRef ds:uri="bbe900ca-133d-4e71-bf25-4fa3d607569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A94493A-5DA9-4EC9-A3C9-54E72C2BE0F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30D5BE9-329B-46FF-9E39-312C5F60E21B}">
  <ds:schemaRefs>
    <ds:schemaRef ds:uri="http://schemas.microsoft.com/office/2006/documentManagement/types"/>
    <ds:schemaRef ds:uri="http://purl.org/dc/terms/"/>
    <ds:schemaRef ds:uri="http://purl.org/dc/dcmitype/"/>
    <ds:schemaRef ds:uri="http://purl.org/dc/elements/1.1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bbe900ca-133d-4e71-bf25-4fa3d6075698"/>
    <ds:schemaRef ds:uri="442751cd-85a6-4d9f-a3da-9ea20e9e0a20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24</vt:i4>
      </vt:variant>
    </vt:vector>
  </HeadingPairs>
  <TitlesOfParts>
    <vt:vector size="32" baseType="lpstr">
      <vt:lpstr>Formula CU</vt:lpstr>
      <vt:lpstr>G AM Personal y Serv Generales</vt:lpstr>
      <vt:lpstr>G AM Inversiones</vt:lpstr>
      <vt:lpstr>G AM Preventivos</vt:lpstr>
      <vt:lpstr>Margen C</vt:lpstr>
      <vt:lpstr>Costo financiero</vt:lpstr>
      <vt:lpstr>Factor Salarial</vt:lpstr>
      <vt:lpstr>Cobertura ZNI</vt:lpstr>
      <vt:lpstr>AMGI0</vt:lpstr>
      <vt:lpstr>AMNU</vt:lpstr>
      <vt:lpstr>C_0r</vt:lpstr>
      <vt:lpstr>C0</vt:lpstr>
      <vt:lpstr>Cm</vt:lpstr>
      <vt:lpstr>CUm</vt:lpstr>
      <vt:lpstr>Diasm</vt:lpstr>
      <vt:lpstr>Dm</vt:lpstr>
      <vt:lpstr>EGm</vt:lpstr>
      <vt:lpstr>GAM0</vt:lpstr>
      <vt:lpstr>GI0</vt:lpstr>
      <vt:lpstr>Gm</vt:lpstr>
      <vt:lpstr>IPP0</vt:lpstr>
      <vt:lpstr>IPPm_1</vt:lpstr>
      <vt:lpstr>MgAM</vt:lpstr>
      <vt:lpstr>MgC</vt:lpstr>
      <vt:lpstr>MPr_NS</vt:lpstr>
      <vt:lpstr>NSr_tcs</vt:lpstr>
      <vt:lpstr>NU</vt:lpstr>
      <vt:lpstr>PE</vt:lpstr>
      <vt:lpstr>Region</vt:lpstr>
      <vt:lpstr>TCS</vt:lpstr>
      <vt:lpstr>'G AM Inversiones'!TD</vt:lpstr>
      <vt:lpstr>TD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Andres Castellanos Gamboa</dc:creator>
  <cp:lastModifiedBy>Carlos Andres Castellanos Gamboa</cp:lastModifiedBy>
  <dcterms:created xsi:type="dcterms:W3CDTF">2020-06-08T23:54:51Z</dcterms:created>
  <dcterms:modified xsi:type="dcterms:W3CDTF">2020-08-11T19:58:10Z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0x010100F48C42CE87DF4F4FA9E3AB51A63EFD9C</vt:lpwstr>
  </property>
</Properties>
</file>